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KAP PEMBUKUAN PAJAK 2023\"/>
    </mc:Choice>
  </mc:AlternateContent>
  <bookViews>
    <workbookView xWindow="0" yWindow="0" windowWidth="20490" windowHeight="7905" tabRatio="779" firstSheet="3" activeTab="6"/>
  </bookViews>
  <sheets>
    <sheet name="BUKTI POTONG" sheetId="4" state="hidden" r:id="rId1"/>
    <sheet name="REKAP PEMBELIAN INVOICE" sheetId="13" r:id="rId2"/>
    <sheet name="REKAP REKENING KORAN" sheetId="2" r:id="rId3"/>
    <sheet name="REKAP PAJAK" sheetId="3" r:id="rId4"/>
    <sheet name="REKAP RETUR" sheetId="12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2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3">'REKAP PAJAK'!$A$1:$T$21</definedName>
    <definedName name="_xlnm.Print_Area" localSheetId="6">'REKAP PENJUALAN'!$B$1:$L$193</definedName>
    <definedName name="_xlnm.Print_Area" localSheetId="2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2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2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2" hidden="1">'REKAP REKENING KORAN'!$1:$4</definedName>
    <definedName name="Z_BE90C906_DD41_47D5_AC7B_96F7A4C7F4EE_.wvu.Rows" localSheetId="8" hidden="1">'REKAP PENYUSUTAN BUKAN BANGUNAN'!$50:$52</definedName>
  </definedNames>
  <calcPr calcId="152511" calcMode="manual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M816" i="6" l="1"/>
  <c r="M822" i="6"/>
  <c r="J829" i="6" l="1"/>
  <c r="K829" i="6"/>
  <c r="L829" i="6" s="1"/>
  <c r="M829" i="6"/>
  <c r="J823" i="6"/>
  <c r="K823" i="6" s="1"/>
  <c r="L823" i="6" s="1"/>
  <c r="M823" i="6"/>
  <c r="J824" i="6"/>
  <c r="K824" i="6" s="1"/>
  <c r="L824" i="6" s="1"/>
  <c r="M824" i="6"/>
  <c r="J825" i="6"/>
  <c r="K825" i="6" s="1"/>
  <c r="L825" i="6" s="1"/>
  <c r="M825" i="6"/>
  <c r="J819" i="6"/>
  <c r="K819" i="6" s="1"/>
  <c r="L819" i="6" s="1"/>
  <c r="M819" i="6"/>
  <c r="J853" i="6"/>
  <c r="K853" i="6" s="1"/>
  <c r="L853" i="6" s="1"/>
  <c r="M853" i="6"/>
  <c r="J854" i="6"/>
  <c r="K854" i="6" s="1"/>
  <c r="L854" i="6" s="1"/>
  <c r="M854" i="6"/>
  <c r="J855" i="6"/>
  <c r="K855" i="6" s="1"/>
  <c r="L855" i="6" s="1"/>
  <c r="M855" i="6"/>
  <c r="J856" i="6"/>
  <c r="K856" i="6" s="1"/>
  <c r="L856" i="6" s="1"/>
  <c r="M856" i="6"/>
  <c r="J857" i="6"/>
  <c r="K857" i="6" s="1"/>
  <c r="L857" i="6" s="1"/>
  <c r="M857" i="6"/>
  <c r="J858" i="6"/>
  <c r="K858" i="6" s="1"/>
  <c r="L858" i="6" s="1"/>
  <c r="M858" i="6"/>
  <c r="J859" i="6"/>
  <c r="K859" i="6" s="1"/>
  <c r="L859" i="6" s="1"/>
  <c r="M859" i="6"/>
  <c r="M852" i="6"/>
  <c r="J852" i="6"/>
  <c r="K852" i="6" s="1"/>
  <c r="J788" i="6"/>
  <c r="K788" i="6" s="1"/>
  <c r="L788" i="6" s="1"/>
  <c r="M788" i="6"/>
  <c r="J789" i="6"/>
  <c r="K789" i="6" s="1"/>
  <c r="L789" i="6" s="1"/>
  <c r="M789" i="6"/>
  <c r="J790" i="6"/>
  <c r="K790" i="6" s="1"/>
  <c r="L790" i="6" s="1"/>
  <c r="M790" i="6"/>
  <c r="J791" i="6"/>
  <c r="K791" i="6" s="1"/>
  <c r="L791" i="6" s="1"/>
  <c r="M791" i="6"/>
  <c r="J792" i="6"/>
  <c r="K792" i="6" s="1"/>
  <c r="L792" i="6" s="1"/>
  <c r="M792" i="6"/>
  <c r="J793" i="6"/>
  <c r="K793" i="6" s="1"/>
  <c r="L793" i="6" s="1"/>
  <c r="M793" i="6"/>
  <c r="J794" i="6"/>
  <c r="K794" i="6" s="1"/>
  <c r="L794" i="6" s="1"/>
  <c r="M794" i="6"/>
  <c r="J795" i="6"/>
  <c r="K795" i="6" s="1"/>
  <c r="L795" i="6" s="1"/>
  <c r="M795" i="6"/>
  <c r="J796" i="6"/>
  <c r="K796" i="6" s="1"/>
  <c r="L796" i="6" s="1"/>
  <c r="M796" i="6"/>
  <c r="J797" i="6"/>
  <c r="K797" i="6" s="1"/>
  <c r="L797" i="6" s="1"/>
  <c r="M797" i="6"/>
  <c r="J798" i="6"/>
  <c r="K798" i="6" s="1"/>
  <c r="L798" i="6" s="1"/>
  <c r="M798" i="6"/>
  <c r="J799" i="6"/>
  <c r="K799" i="6" s="1"/>
  <c r="L799" i="6" s="1"/>
  <c r="M799" i="6"/>
  <c r="J800" i="6"/>
  <c r="K800" i="6" s="1"/>
  <c r="L800" i="6" s="1"/>
  <c r="M800" i="6"/>
  <c r="J801" i="6"/>
  <c r="K801" i="6" s="1"/>
  <c r="L801" i="6" s="1"/>
  <c r="M801" i="6"/>
  <c r="J802" i="6"/>
  <c r="K802" i="6" s="1"/>
  <c r="L802" i="6" s="1"/>
  <c r="M802" i="6"/>
  <c r="J803" i="6"/>
  <c r="K803" i="6" s="1"/>
  <c r="L803" i="6" s="1"/>
  <c r="M803" i="6"/>
  <c r="J804" i="6"/>
  <c r="K804" i="6" s="1"/>
  <c r="L804" i="6" s="1"/>
  <c r="M804" i="6"/>
  <c r="J805" i="6"/>
  <c r="K805" i="6" s="1"/>
  <c r="L805" i="6" s="1"/>
  <c r="M805" i="6"/>
  <c r="J806" i="6"/>
  <c r="K806" i="6" s="1"/>
  <c r="L806" i="6" s="1"/>
  <c r="M806" i="6"/>
  <c r="J807" i="6"/>
  <c r="K807" i="6" s="1"/>
  <c r="L807" i="6" s="1"/>
  <c r="M807" i="6"/>
  <c r="J808" i="6"/>
  <c r="K808" i="6" s="1"/>
  <c r="L808" i="6" s="1"/>
  <c r="M808" i="6"/>
  <c r="J809" i="6"/>
  <c r="K809" i="6" s="1"/>
  <c r="L809" i="6" s="1"/>
  <c r="M809" i="6"/>
  <c r="J810" i="6"/>
  <c r="K810" i="6" s="1"/>
  <c r="L810" i="6" s="1"/>
  <c r="M810" i="6"/>
  <c r="J811" i="6"/>
  <c r="K811" i="6" s="1"/>
  <c r="L811" i="6" s="1"/>
  <c r="M811" i="6"/>
  <c r="J812" i="6"/>
  <c r="K812" i="6" s="1"/>
  <c r="L812" i="6" s="1"/>
  <c r="M812" i="6"/>
  <c r="J813" i="6"/>
  <c r="K813" i="6" s="1"/>
  <c r="L813" i="6" s="1"/>
  <c r="M813" i="6"/>
  <c r="J814" i="6"/>
  <c r="K814" i="6" s="1"/>
  <c r="L814" i="6" s="1"/>
  <c r="M814" i="6"/>
  <c r="J815" i="6"/>
  <c r="K815" i="6" s="1"/>
  <c r="L815" i="6" s="1"/>
  <c r="M815" i="6"/>
  <c r="L852" i="6" l="1"/>
  <c r="P603" i="10"/>
  <c r="P595" i="10"/>
  <c r="P589" i="10"/>
  <c r="P581" i="10"/>
  <c r="P574" i="10"/>
  <c r="BC19" i="11"/>
  <c r="BC16" i="11"/>
  <c r="BC14" i="11"/>
  <c r="O602" i="10"/>
  <c r="O588" i="10"/>
  <c r="O573" i="10"/>
  <c r="BA17" i="11"/>
  <c r="BA16" i="11"/>
  <c r="BA19" i="11"/>
  <c r="BC20" i="11"/>
  <c r="BC18" i="11"/>
  <c r="BC17" i="11"/>
  <c r="BC15" i="11"/>
  <c r="BC13" i="11"/>
  <c r="BC12" i="11"/>
  <c r="BC11" i="11"/>
  <c r="BA20" i="11"/>
  <c r="BA18" i="11"/>
  <c r="BB14" i="11"/>
  <c r="BB15" i="11"/>
  <c r="BA14" i="11"/>
  <c r="BB13" i="11"/>
  <c r="BB12" i="11"/>
  <c r="BB11" i="11"/>
  <c r="BA11" i="11"/>
  <c r="M850" i="6" l="1"/>
  <c r="M840" i="6"/>
  <c r="L840" i="6"/>
  <c r="M839" i="6"/>
  <c r="L839" i="6"/>
  <c r="M838" i="6"/>
  <c r="L838" i="6"/>
  <c r="M837" i="6"/>
  <c r="L837" i="6"/>
  <c r="M836" i="6"/>
  <c r="L836" i="6"/>
  <c r="M835" i="6"/>
  <c r="L835" i="6"/>
  <c r="M834" i="6"/>
  <c r="L834" i="6"/>
  <c r="M833" i="6"/>
  <c r="L833" i="6"/>
  <c r="M832" i="6"/>
  <c r="L832" i="6"/>
  <c r="M831" i="6"/>
  <c r="L831" i="6"/>
  <c r="M845" i="6"/>
  <c r="M844" i="6"/>
  <c r="M843" i="6"/>
  <c r="M842" i="6"/>
  <c r="M841" i="6"/>
  <c r="M846" i="6"/>
  <c r="L846" i="6"/>
  <c r="M848" i="6"/>
  <c r="M847" i="6"/>
  <c r="M849" i="6"/>
  <c r="L850" i="6" l="1"/>
  <c r="L841" i="6"/>
  <c r="L842" i="6"/>
  <c r="L843" i="6"/>
  <c r="L844" i="6"/>
  <c r="L845" i="6"/>
  <c r="L847" i="6"/>
  <c r="L848" i="6"/>
  <c r="L849" i="6"/>
  <c r="K2068" i="7"/>
  <c r="K2067" i="7"/>
  <c r="K2066" i="7"/>
  <c r="K2065" i="7"/>
  <c r="K2064" i="7"/>
  <c r="K2063" i="7"/>
  <c r="K2062" i="7"/>
  <c r="K2061" i="7"/>
  <c r="K2060" i="7"/>
  <c r="K2059" i="7"/>
  <c r="K2058" i="7"/>
  <c r="K2057" i="7"/>
  <c r="K2056" i="7"/>
  <c r="K2055" i="7"/>
  <c r="K2054" i="7"/>
  <c r="K2053" i="7"/>
  <c r="K2052" i="7"/>
  <c r="K2051" i="7"/>
  <c r="K2050" i="7"/>
  <c r="K2049" i="7"/>
  <c r="K2048" i="7"/>
  <c r="K2047" i="7"/>
  <c r="K2046" i="7"/>
  <c r="K2045" i="7"/>
  <c r="K2044" i="7"/>
  <c r="K2043" i="7"/>
  <c r="K2042" i="7"/>
  <c r="K2041" i="7"/>
  <c r="K2040" i="7"/>
  <c r="K2039" i="7"/>
  <c r="K2038" i="7"/>
  <c r="K2037" i="7"/>
  <c r="K2036" i="7"/>
  <c r="K2035" i="7"/>
  <c r="K2034" i="7"/>
  <c r="K2033" i="7"/>
  <c r="K2032" i="7"/>
  <c r="K2031" i="7"/>
  <c r="K2030" i="7"/>
  <c r="K2029" i="7"/>
  <c r="L15" i="1" l="1"/>
  <c r="M11" i="1"/>
  <c r="N15" i="1"/>
  <c r="L572" i="10"/>
  <c r="L563" i="10"/>
  <c r="L562" i="10"/>
  <c r="L561" i="10"/>
  <c r="L560" i="10"/>
  <c r="L559" i="10"/>
  <c r="R537" i="10"/>
  <c r="F533" i="10"/>
  <c r="K782" i="6" l="1"/>
  <c r="J782" i="6"/>
  <c r="H782" i="6"/>
  <c r="K1999" i="7"/>
  <c r="K1984" i="7"/>
  <c r="K1970" i="7"/>
  <c r="K1951" i="7"/>
  <c r="K1928" i="7"/>
  <c r="K1905" i="7"/>
  <c r="K1886" i="7"/>
  <c r="K1923" i="7" l="1"/>
  <c r="M738" i="6" l="1"/>
  <c r="L738" i="6"/>
  <c r="L736" i="6" l="1"/>
  <c r="M736" i="6"/>
  <c r="K2022" i="7" l="1"/>
  <c r="K2021" i="7"/>
  <c r="K2019" i="7"/>
  <c r="K1990" i="7"/>
  <c r="K1989" i="7"/>
  <c r="K1968" i="7"/>
  <c r="K2000" i="7"/>
  <c r="K1991" i="7"/>
  <c r="K1987" i="7"/>
  <c r="K1975" i="7"/>
  <c r="K1965" i="7"/>
  <c r="K1956" i="7"/>
  <c r="K1953" i="7"/>
  <c r="K1930" i="7"/>
  <c r="K1916" i="7"/>
  <c r="K1902" i="7"/>
  <c r="K1908" i="7"/>
  <c r="K2023" i="7"/>
  <c r="K2017" i="7"/>
  <c r="K2016" i="7"/>
  <c r="K2008" i="7"/>
  <c r="K2012" i="7"/>
  <c r="K2005" i="7"/>
  <c r="K2002" i="7"/>
  <c r="K1992" i="7"/>
  <c r="K1986" i="7"/>
  <c r="K1979" i="7"/>
  <c r="K1957" i="7"/>
  <c r="K1954" i="7"/>
  <c r="K1952" i="7"/>
  <c r="K1933" i="7"/>
  <c r="K1945" i="7"/>
  <c r="K1912" i="7"/>
  <c r="K1910" i="7"/>
  <c r="K1897" i="7"/>
  <c r="K2020" i="7"/>
  <c r="K2018" i="7"/>
  <c r="K2004" i="7"/>
  <c r="K1988" i="7"/>
  <c r="K1980" i="7"/>
  <c r="K1978" i="7"/>
  <c r="K1967" i="7"/>
  <c r="K1955" i="7"/>
  <c r="K1949" i="7"/>
  <c r="K1903" i="7"/>
  <c r="K1881" i="7" l="1"/>
  <c r="K1882" i="7"/>
  <c r="K1894" i="7"/>
  <c r="K1883" i="7"/>
  <c r="K1884" i="7"/>
  <c r="K1887" i="7"/>
  <c r="K1890" i="7"/>
  <c r="K1907" i="7"/>
  <c r="K1891" i="7"/>
  <c r="K1893" i="7"/>
  <c r="K1896" i="7"/>
  <c r="K1898" i="7"/>
  <c r="K1899" i="7"/>
  <c r="K1900" i="7"/>
  <c r="K1901" i="7"/>
  <c r="K1909" i="7"/>
  <c r="K1911" i="7"/>
  <c r="K1913" i="7"/>
  <c r="K1917" i="7"/>
  <c r="K1918" i="7"/>
  <c r="K1921" i="7"/>
  <c r="K1922" i="7"/>
  <c r="K1929" i="7"/>
  <c r="K1931" i="7"/>
  <c r="K1934" i="7"/>
  <c r="K1946" i="7"/>
  <c r="K1914" i="7"/>
  <c r="K1919" i="7"/>
  <c r="K1924" i="7"/>
  <c r="K1925" i="7"/>
  <c r="K1926" i="7"/>
  <c r="K1927" i="7"/>
  <c r="K1936" i="7"/>
  <c r="K1937" i="7"/>
  <c r="K1938" i="7"/>
  <c r="K1939" i="7"/>
  <c r="K1940" i="7"/>
  <c r="K1941" i="7"/>
  <c r="K1942" i="7"/>
  <c r="K1943" i="7"/>
  <c r="K1944" i="7"/>
  <c r="K1920" i="7"/>
  <c r="K1947" i="7"/>
  <c r="K1948" i="7"/>
  <c r="K1958" i="7"/>
  <c r="K1961" i="7"/>
  <c r="K1959" i="7"/>
  <c r="K1962" i="7"/>
  <c r="K1963" i="7"/>
  <c r="K1964" i="7"/>
  <c r="K1971" i="7"/>
  <c r="K1972" i="7"/>
  <c r="K1973" i="7"/>
  <c r="K1976" i="7"/>
  <c r="K1983" i="7"/>
  <c r="K1985" i="7"/>
  <c r="K1995" i="7"/>
  <c r="K1996" i="7"/>
  <c r="K1998" i="7"/>
  <c r="K1997" i="7"/>
  <c r="K2003" i="7"/>
  <c r="K2010" i="7"/>
  <c r="K2011" i="7"/>
  <c r="K1969" i="7"/>
  <c r="K1981" i="7"/>
  <c r="K1993" i="7"/>
  <c r="K2001" i="7"/>
  <c r="K2013" i="7"/>
  <c r="K2015" i="7"/>
  <c r="K2007" i="7"/>
  <c r="K1904" i="7"/>
  <c r="K2024" i="7"/>
  <c r="L827" i="6" l="1"/>
  <c r="M827" i="6"/>
  <c r="L740" i="6"/>
  <c r="M740" i="6"/>
  <c r="L727" i="6"/>
  <c r="M727" i="6"/>
  <c r="L728" i="6"/>
  <c r="M728" i="6"/>
  <c r="L729" i="6"/>
  <c r="M729" i="6"/>
  <c r="L730" i="6"/>
  <c r="M730" i="6"/>
  <c r="L731" i="6"/>
  <c r="M731" i="6"/>
  <c r="L732" i="6"/>
  <c r="M732" i="6"/>
  <c r="L733" i="6"/>
  <c r="M733" i="6"/>
  <c r="M701" i="6" l="1"/>
  <c r="L701" i="6" l="1"/>
  <c r="M734" i="6" l="1"/>
  <c r="L734" i="6"/>
  <c r="L735" i="6"/>
  <c r="M735" i="6"/>
  <c r="M737" i="6"/>
  <c r="M739" i="6"/>
  <c r="M702" i="6"/>
  <c r="L702" i="6"/>
  <c r="M703" i="6"/>
  <c r="L739" i="6" l="1"/>
  <c r="L737" i="6"/>
  <c r="L703" i="6"/>
  <c r="I235" i="2"/>
  <c r="M781" i="6" l="1"/>
  <c r="M780" i="6"/>
  <c r="M779" i="6"/>
  <c r="M778" i="6"/>
  <c r="M777" i="6"/>
  <c r="L777" i="6"/>
  <c r="L778" i="6" l="1"/>
  <c r="L779" i="6"/>
  <c r="L780" i="6"/>
  <c r="L781" i="6"/>
  <c r="L769" i="6" l="1"/>
  <c r="M769" i="6"/>
  <c r="L770" i="6"/>
  <c r="M770" i="6"/>
  <c r="L771" i="6"/>
  <c r="M771" i="6"/>
  <c r="L772" i="6"/>
  <c r="M772" i="6"/>
  <c r="L773" i="6"/>
  <c r="M773" i="6"/>
  <c r="L774" i="6"/>
  <c r="M774" i="6"/>
  <c r="L775" i="6"/>
  <c r="M775" i="6"/>
  <c r="L776" i="6"/>
  <c r="M776" i="6"/>
  <c r="L704" i="6"/>
  <c r="M704" i="6"/>
  <c r="L705" i="6"/>
  <c r="M705" i="6"/>
  <c r="L706" i="6"/>
  <c r="M706" i="6"/>
  <c r="L707" i="6"/>
  <c r="M707" i="6"/>
  <c r="L708" i="6"/>
  <c r="M708" i="6"/>
  <c r="L709" i="6"/>
  <c r="M709" i="6"/>
  <c r="L710" i="6"/>
  <c r="M710" i="6"/>
  <c r="L711" i="6"/>
  <c r="M711" i="6"/>
  <c r="L712" i="6"/>
  <c r="M712" i="6"/>
  <c r="L713" i="6"/>
  <c r="M713" i="6"/>
  <c r="L714" i="6"/>
  <c r="M714" i="6"/>
  <c r="L715" i="6"/>
  <c r="M715" i="6"/>
  <c r="L716" i="6"/>
  <c r="M716" i="6"/>
  <c r="L717" i="6"/>
  <c r="M717" i="6"/>
  <c r="L718" i="6"/>
  <c r="M718" i="6"/>
  <c r="L719" i="6"/>
  <c r="M719" i="6"/>
  <c r="L720" i="6"/>
  <c r="M720" i="6"/>
  <c r="L721" i="6"/>
  <c r="M721" i="6"/>
  <c r="L722" i="6"/>
  <c r="M722" i="6"/>
  <c r="L723" i="6"/>
  <c r="M723" i="6"/>
  <c r="L724" i="6"/>
  <c r="M724" i="6"/>
  <c r="L725" i="6"/>
  <c r="M725" i="6"/>
  <c r="L726" i="6"/>
  <c r="M726" i="6"/>
  <c r="P564" i="10" l="1"/>
  <c r="P552" i="10"/>
  <c r="P545" i="10"/>
  <c r="P532" i="10"/>
  <c r="AW20" i="11"/>
  <c r="AW19" i="11"/>
  <c r="AW17" i="11"/>
  <c r="AW16" i="11"/>
  <c r="AY19" i="11"/>
  <c r="AY16" i="11"/>
  <c r="AY14" i="11"/>
  <c r="AW14" i="11"/>
  <c r="AY15" i="11"/>
  <c r="AX15" i="11"/>
  <c r="AY11" i="11"/>
  <c r="AW11" i="11"/>
  <c r="AX14" i="11"/>
  <c r="AW18" i="11"/>
  <c r="AX11" i="11" l="1"/>
  <c r="AX13" i="11"/>
  <c r="AX12" i="11"/>
  <c r="AY20" i="11"/>
  <c r="AY18" i="11"/>
  <c r="AY17" i="11"/>
  <c r="AY13" i="11"/>
  <c r="AY12" i="11"/>
  <c r="M768" i="6" l="1"/>
  <c r="L768" i="6"/>
  <c r="M767" i="6"/>
  <c r="L767" i="6"/>
  <c r="M766" i="6"/>
  <c r="L766" i="6"/>
  <c r="M765" i="6"/>
  <c r="L765" i="6"/>
  <c r="M764" i="6"/>
  <c r="L764" i="6"/>
  <c r="L742" i="6" l="1"/>
  <c r="M744" i="6"/>
  <c r="L744" i="6"/>
  <c r="M743" i="6"/>
  <c r="L743" i="6"/>
  <c r="M742" i="6"/>
  <c r="M755" i="6" l="1"/>
  <c r="M754" i="6"/>
  <c r="M753" i="6"/>
  <c r="M752" i="6"/>
  <c r="M751" i="6"/>
  <c r="M750" i="6"/>
  <c r="M749" i="6"/>
  <c r="M748" i="6"/>
  <c r="M747" i="6"/>
  <c r="M756" i="6"/>
  <c r="L756" i="6"/>
  <c r="M760" i="6"/>
  <c r="M759" i="6"/>
  <c r="M758" i="6"/>
  <c r="M757" i="6"/>
  <c r="M763" i="6"/>
  <c r="M762" i="6"/>
  <c r="L747" i="6" l="1"/>
  <c r="L748" i="6"/>
  <c r="L749" i="6"/>
  <c r="L750" i="6"/>
  <c r="L751" i="6"/>
  <c r="L752" i="6"/>
  <c r="L753" i="6"/>
  <c r="L754" i="6"/>
  <c r="L755" i="6"/>
  <c r="L757" i="6"/>
  <c r="L758" i="6"/>
  <c r="L759" i="6"/>
  <c r="L760" i="6"/>
  <c r="L763" i="6"/>
  <c r="L762" i="6"/>
  <c r="L11" i="1"/>
  <c r="K15" i="1"/>
  <c r="M663" i="6" l="1"/>
  <c r="L663" i="6" l="1"/>
  <c r="L520" i="10"/>
  <c r="L519" i="10"/>
  <c r="L518" i="10"/>
  <c r="R482" i="10"/>
  <c r="K1831" i="7" l="1"/>
  <c r="K1721" i="7" l="1"/>
  <c r="I1830" i="7" l="1"/>
  <c r="J1830" i="7" s="1"/>
  <c r="I1831" i="7"/>
  <c r="J1831" i="7" s="1"/>
  <c r="I1832" i="7"/>
  <c r="J1832" i="7" s="1"/>
  <c r="I1833" i="7"/>
  <c r="J1833" i="7" s="1"/>
  <c r="I1834" i="7"/>
  <c r="J1834" i="7" s="1"/>
  <c r="K1824" i="7" l="1"/>
  <c r="K1829" i="7" l="1"/>
  <c r="K1778" i="7" l="1"/>
  <c r="K1774" i="7"/>
  <c r="K1766" i="7"/>
  <c r="K1793" i="7"/>
  <c r="K1803" i="7"/>
  <c r="K1742" i="7"/>
  <c r="K1745" i="7"/>
  <c r="K1817" i="7"/>
  <c r="K1739" i="7"/>
  <c r="K1813" i="7"/>
  <c r="K1812" i="7"/>
  <c r="K1823" i="7"/>
  <c r="K1783" i="7" l="1"/>
  <c r="K1822" i="7"/>
  <c r="K1799" i="7"/>
  <c r="K1776" i="7"/>
  <c r="K1801" i="7"/>
  <c r="K1760" i="7"/>
  <c r="K1818" i="7"/>
  <c r="K1815" i="7"/>
  <c r="K1796" i="7"/>
  <c r="K1814" i="7"/>
  <c r="K1737" i="7"/>
  <c r="K1777" i="7"/>
  <c r="K1719" i="7"/>
  <c r="K1738" i="7"/>
  <c r="K1807" i="7"/>
  <c r="K1804" i="7"/>
  <c r="K1810" i="7"/>
  <c r="K1809" i="7"/>
  <c r="K1808" i="7"/>
  <c r="K1806" i="7"/>
  <c r="K1805" i="7"/>
  <c r="K1797" i="7"/>
  <c r="K1731" i="7"/>
  <c r="K1792" i="7"/>
  <c r="K1784" i="7"/>
  <c r="K1735" i="7"/>
  <c r="L664" i="6" l="1"/>
  <c r="M664" i="6"/>
  <c r="K1772" i="7" l="1"/>
  <c r="K1773" i="7"/>
  <c r="K1775" i="7"/>
  <c r="K1795" i="7"/>
  <c r="K1770" i="7"/>
  <c r="K1724" i="7" l="1"/>
  <c r="K1746" i="7"/>
  <c r="K1769" i="7"/>
  <c r="K1736" i="7"/>
  <c r="K1771" i="7"/>
  <c r="K1707" i="7"/>
  <c r="K1716" i="7"/>
  <c r="K1717" i="7"/>
  <c r="K1747" i="7"/>
  <c r="K1727" i="7"/>
  <c r="K1730" i="7"/>
  <c r="K1763" i="7"/>
  <c r="K1765" i="7"/>
  <c r="K1728" i="7"/>
  <c r="K1764" i="7" l="1"/>
  <c r="K1762" i="7" l="1"/>
  <c r="K1757" i="7"/>
  <c r="K1756" i="7"/>
  <c r="K1755" i="7"/>
  <c r="K1754" i="7"/>
  <c r="K1748" i="7"/>
  <c r="K1715" i="7"/>
  <c r="K1710" i="7"/>
  <c r="K1709" i="7"/>
  <c r="M644" i="6" l="1"/>
  <c r="L644" i="6"/>
  <c r="L697" i="6" l="1"/>
  <c r="M697" i="6"/>
  <c r="L661" i="6"/>
  <c r="M661" i="6"/>
  <c r="L662" i="6"/>
  <c r="M662" i="6"/>
  <c r="L654" i="6" l="1"/>
  <c r="M654" i="6"/>
  <c r="L655" i="6"/>
  <c r="M655" i="6"/>
  <c r="L656" i="6"/>
  <c r="M656" i="6"/>
  <c r="L657" i="6"/>
  <c r="M657" i="6"/>
  <c r="L658" i="6"/>
  <c r="M658" i="6"/>
  <c r="L659" i="6"/>
  <c r="M659" i="6"/>
  <c r="L660" i="6"/>
  <c r="M660" i="6"/>
  <c r="L693" i="6"/>
  <c r="M693" i="6"/>
  <c r="L694" i="6"/>
  <c r="M694" i="6"/>
  <c r="L695" i="6"/>
  <c r="M695" i="6"/>
  <c r="L696" i="6"/>
  <c r="M696" i="6"/>
  <c r="L652" i="6" l="1"/>
  <c r="M652" i="6"/>
  <c r="L653" i="6"/>
  <c r="M653" i="6"/>
  <c r="P516" i="10" l="1"/>
  <c r="P511" i="10"/>
  <c r="P502" i="10"/>
  <c r="P490" i="10"/>
  <c r="AS19" i="11"/>
  <c r="AS18" i="11"/>
  <c r="AS17" i="11"/>
  <c r="AS16" i="11"/>
  <c r="AU19" i="11"/>
  <c r="AU18" i="11"/>
  <c r="AU16" i="11"/>
  <c r="AU14" i="11"/>
  <c r="AU11" i="11"/>
  <c r="AT14" i="11"/>
  <c r="AT11" i="11"/>
  <c r="AS20" i="11"/>
  <c r="L649" i="6" l="1"/>
  <c r="M649" i="6"/>
  <c r="L650" i="6"/>
  <c r="M650" i="6"/>
  <c r="L651" i="6"/>
  <c r="M651" i="6"/>
  <c r="L689" i="6"/>
  <c r="M689" i="6"/>
  <c r="L690" i="6"/>
  <c r="M690" i="6"/>
  <c r="L691" i="6"/>
  <c r="M691" i="6"/>
  <c r="F13" i="14" l="1"/>
  <c r="AT15" i="11" l="1"/>
  <c r="AT13" i="11"/>
  <c r="AT12" i="11"/>
  <c r="AU20" i="11"/>
  <c r="AU17" i="11"/>
  <c r="AU15" i="11"/>
  <c r="AU13" i="11"/>
  <c r="AU12" i="11"/>
  <c r="AS11" i="11"/>
  <c r="L666" i="6" l="1"/>
  <c r="M666" i="6"/>
  <c r="J665" i="6"/>
  <c r="K665" i="6" s="1"/>
  <c r="L665" i="6" s="1"/>
  <c r="M665" i="6"/>
  <c r="L667" i="6"/>
  <c r="M667" i="6"/>
  <c r="J668" i="6"/>
  <c r="K668" i="6" s="1"/>
  <c r="M668" i="6"/>
  <c r="L645" i="6"/>
  <c r="M645" i="6"/>
  <c r="L646" i="6"/>
  <c r="M646" i="6"/>
  <c r="L647" i="6"/>
  <c r="M647" i="6"/>
  <c r="L648" i="6"/>
  <c r="M648" i="6"/>
  <c r="L682" i="6"/>
  <c r="M682" i="6"/>
  <c r="L683" i="6"/>
  <c r="M683" i="6"/>
  <c r="L684" i="6"/>
  <c r="M684" i="6"/>
  <c r="L685" i="6"/>
  <c r="M685" i="6"/>
  <c r="L686" i="6"/>
  <c r="M686" i="6"/>
  <c r="L687" i="6"/>
  <c r="M687" i="6"/>
  <c r="L688" i="6"/>
  <c r="M688" i="6"/>
  <c r="L692" i="6"/>
  <c r="M692" i="6"/>
  <c r="L668" i="6" l="1"/>
  <c r="M672" i="6" l="1"/>
  <c r="L672" i="6" l="1"/>
  <c r="K1666" i="7"/>
  <c r="K1556" i="7"/>
  <c r="L679" i="6" l="1"/>
  <c r="M679" i="6"/>
  <c r="L680" i="6"/>
  <c r="M680" i="6"/>
  <c r="L681" i="6"/>
  <c r="M681" i="6"/>
  <c r="L641" i="6"/>
  <c r="M641" i="6"/>
  <c r="L642" i="6"/>
  <c r="M642" i="6"/>
  <c r="L643" i="6"/>
  <c r="M643" i="6"/>
  <c r="G31" i="12" l="1"/>
  <c r="G9" i="12" l="1"/>
  <c r="K11" i="1" l="1"/>
  <c r="L636" i="6" l="1"/>
  <c r="M636" i="6"/>
  <c r="L637" i="6"/>
  <c r="M637" i="6"/>
  <c r="L638" i="6"/>
  <c r="M638" i="6"/>
  <c r="L639" i="6"/>
  <c r="M639" i="6"/>
  <c r="L640" i="6"/>
  <c r="M640" i="6"/>
  <c r="L669" i="6"/>
  <c r="M669" i="6"/>
  <c r="M670" i="6"/>
  <c r="L671" i="6"/>
  <c r="M671" i="6"/>
  <c r="M673" i="6"/>
  <c r="M674" i="6"/>
  <c r="M675" i="6"/>
  <c r="M676" i="6"/>
  <c r="L677" i="6"/>
  <c r="M677" i="6"/>
  <c r="L678" i="6"/>
  <c r="M678" i="6"/>
  <c r="L676" i="6" l="1"/>
  <c r="L670" i="6"/>
  <c r="L675" i="6"/>
  <c r="L674" i="6"/>
  <c r="L673" i="6"/>
  <c r="L472" i="10" l="1"/>
  <c r="L471" i="10"/>
  <c r="L470" i="10"/>
  <c r="L469" i="10"/>
  <c r="L468" i="10"/>
  <c r="L467" i="10"/>
  <c r="L466" i="10"/>
  <c r="L465" i="10"/>
  <c r="L464" i="10"/>
  <c r="L463" i="10"/>
  <c r="L462" i="10"/>
  <c r="L461" i="10"/>
  <c r="L460" i="10"/>
  <c r="D477" i="10"/>
  <c r="F477" i="10"/>
  <c r="G477" i="10"/>
  <c r="H477" i="10"/>
  <c r="J477" i="10"/>
  <c r="K477" i="10"/>
  <c r="M477" i="10"/>
  <c r="N477" i="10"/>
  <c r="O477" i="10"/>
  <c r="Q477" i="10"/>
  <c r="C477" i="10"/>
  <c r="I449" i="10"/>
  <c r="I445" i="10"/>
  <c r="I477" i="10" s="1"/>
  <c r="E443" i="10"/>
  <c r="E477" i="10" s="1"/>
  <c r="R440" i="10"/>
  <c r="R477" i="10" s="1"/>
  <c r="K1665" i="7"/>
  <c r="L477" i="10" l="1"/>
  <c r="K1667" i="7"/>
  <c r="K1670" i="7" l="1"/>
  <c r="K1669" i="7"/>
  <c r="K1662" i="7"/>
  <c r="K1661" i="7"/>
  <c r="K1647" i="7" l="1"/>
  <c r="K1604" i="7"/>
  <c r="K1602" i="7"/>
  <c r="K1589" i="7"/>
  <c r="K1609" i="7"/>
  <c r="K1603" i="7"/>
  <c r="K1655" i="7"/>
  <c r="K1625" i="7"/>
  <c r="K1605" i="7"/>
  <c r="K1641" i="7"/>
  <c r="K1637" i="7"/>
  <c r="K1612" i="7"/>
  <c r="K1628" i="7"/>
  <c r="K1618" i="7"/>
  <c r="K1649" i="7"/>
  <c r="K1632" i="7" l="1"/>
  <c r="K1597" i="7"/>
  <c r="K1630" i="7"/>
  <c r="K1645" i="7"/>
  <c r="K1554" i="7"/>
  <c r="K1640" i="7"/>
  <c r="K1593" i="7"/>
  <c r="K1636" i="7"/>
  <c r="K1587" i="7"/>
  <c r="K1585" i="7"/>
  <c r="K1569" i="7"/>
  <c r="K1621" i="7"/>
  <c r="K1611" i="7"/>
  <c r="K1601" i="7"/>
  <c r="K1633" i="7" l="1"/>
  <c r="K1596" i="7"/>
  <c r="K1581" i="7" l="1"/>
  <c r="K1550" i="7"/>
  <c r="K1568" i="7"/>
  <c r="K1578" i="7"/>
  <c r="K1599" i="7"/>
  <c r="K1561" i="7"/>
  <c r="K1576" i="7"/>
  <c r="K1598" i="7"/>
  <c r="K1591" i="7"/>
  <c r="K1557" i="7"/>
  <c r="K1600" i="7"/>
  <c r="K1588" i="7"/>
  <c r="K1594" i="7"/>
  <c r="K1584" i="7"/>
  <c r="K1595" i="7"/>
  <c r="K1565" i="7"/>
  <c r="K1592" i="7"/>
  <c r="K1580" i="7"/>
  <c r="K1549" i="7"/>
  <c r="K1582" i="7"/>
  <c r="K1590" i="7"/>
  <c r="K1571" i="7"/>
  <c r="K1562" i="7"/>
  <c r="L602" i="6" l="1"/>
  <c r="M602" i="6"/>
  <c r="K1551" i="7" l="1"/>
  <c r="K1579" i="7"/>
  <c r="K1560" i="7"/>
  <c r="K1555" i="7"/>
  <c r="K1564" i="7"/>
  <c r="K1559" i="7"/>
  <c r="L600" i="6" l="1"/>
  <c r="M600" i="6"/>
  <c r="L601" i="6"/>
  <c r="M601" i="6"/>
  <c r="L598" i="6" l="1"/>
  <c r="M598" i="6"/>
  <c r="L599" i="6"/>
  <c r="M599" i="6"/>
  <c r="M632" i="6" l="1"/>
  <c r="M631" i="6"/>
  <c r="M630" i="6"/>
  <c r="M629" i="6"/>
  <c r="M628" i="6"/>
  <c r="L628" i="6" l="1"/>
  <c r="L629" i="6"/>
  <c r="L630" i="6"/>
  <c r="L631" i="6"/>
  <c r="L632" i="6"/>
  <c r="P453" i="10" l="1"/>
  <c r="P439" i="10"/>
  <c r="AO16" i="11"/>
  <c r="AP15" i="11"/>
  <c r="AP14" i="11"/>
  <c r="AP13" i="11"/>
  <c r="AP12" i="11"/>
  <c r="AQ15" i="11"/>
  <c r="AQ13" i="11"/>
  <c r="AQ16" i="11"/>
  <c r="AQ14" i="11"/>
  <c r="AQ12" i="11"/>
  <c r="AQ11" i="11"/>
  <c r="AQ20" i="11"/>
  <c r="AQ19" i="11"/>
  <c r="AQ18" i="11"/>
  <c r="AQ17" i="11"/>
  <c r="P434" i="10"/>
  <c r="P416" i="10"/>
  <c r="M607" i="6" l="1"/>
  <c r="L607" i="6"/>
  <c r="L603" i="6" l="1"/>
  <c r="M603" i="6"/>
  <c r="L633" i="6"/>
  <c r="M633" i="6"/>
  <c r="L604" i="6"/>
  <c r="M604" i="6"/>
  <c r="L605" i="6"/>
  <c r="M605" i="6"/>
  <c r="M617" i="6"/>
  <c r="L576" i="6"/>
  <c r="M576" i="6"/>
  <c r="L577" i="6"/>
  <c r="M577" i="6"/>
  <c r="L578" i="6"/>
  <c r="M578" i="6"/>
  <c r="L579" i="6"/>
  <c r="M579" i="6"/>
  <c r="L580" i="6"/>
  <c r="M580" i="6"/>
  <c r="L581" i="6"/>
  <c r="M581" i="6"/>
  <c r="L582" i="6"/>
  <c r="M582" i="6"/>
  <c r="L583" i="6"/>
  <c r="M583" i="6"/>
  <c r="L584" i="6"/>
  <c r="M584" i="6"/>
  <c r="L585" i="6"/>
  <c r="M585" i="6"/>
  <c r="L586" i="6"/>
  <c r="M586" i="6"/>
  <c r="L587" i="6"/>
  <c r="M587" i="6"/>
  <c r="L588" i="6"/>
  <c r="M588" i="6"/>
  <c r="L589" i="6"/>
  <c r="M589" i="6"/>
  <c r="L590" i="6"/>
  <c r="M590" i="6"/>
  <c r="L591" i="6"/>
  <c r="M591" i="6"/>
  <c r="L592" i="6"/>
  <c r="M592" i="6"/>
  <c r="L593" i="6"/>
  <c r="M593" i="6"/>
  <c r="L594" i="6"/>
  <c r="M594" i="6"/>
  <c r="L595" i="6"/>
  <c r="M595" i="6"/>
  <c r="L596" i="6"/>
  <c r="M596" i="6"/>
  <c r="L597" i="6"/>
  <c r="M597" i="6"/>
  <c r="L626" i="6"/>
  <c r="M626" i="6"/>
  <c r="L627" i="6"/>
  <c r="M627" i="6"/>
  <c r="L617" i="6" l="1"/>
  <c r="M623" i="6"/>
  <c r="M622" i="6"/>
  <c r="M625" i="6"/>
  <c r="M624" i="6"/>
  <c r="M621" i="6"/>
  <c r="M620" i="6"/>
  <c r="M619" i="6"/>
  <c r="M618" i="6"/>
  <c r="M616" i="6"/>
  <c r="M615" i="6"/>
  <c r="M614" i="6"/>
  <c r="M613" i="6"/>
  <c r="M612" i="6"/>
  <c r="M611" i="6"/>
  <c r="M610" i="6"/>
  <c r="M609" i="6"/>
  <c r="L622" i="6" l="1"/>
  <c r="L623" i="6"/>
  <c r="L619" i="6"/>
  <c r="L620" i="6"/>
  <c r="L621" i="6"/>
  <c r="L624" i="6"/>
  <c r="L625" i="6"/>
  <c r="L613" i="6"/>
  <c r="L614" i="6"/>
  <c r="L618" i="6"/>
  <c r="L615" i="6"/>
  <c r="L616" i="6"/>
  <c r="L609" i="6"/>
  <c r="L610" i="6"/>
  <c r="L611" i="6"/>
  <c r="L612" i="6"/>
  <c r="P476" i="10" l="1"/>
  <c r="P477" i="10" s="1"/>
  <c r="AO20" i="11"/>
  <c r="AO19" i="11"/>
  <c r="AO18" i="11"/>
  <c r="AO17" i="11"/>
  <c r="AP11" i="11"/>
  <c r="AO11" i="11"/>
  <c r="J11" i="1" l="1"/>
  <c r="L386" i="10" l="1"/>
  <c r="L385" i="10"/>
  <c r="L384" i="10"/>
  <c r="G399" i="10"/>
  <c r="I389" i="10"/>
  <c r="F369" i="10"/>
  <c r="L383" i="10"/>
  <c r="L382" i="10"/>
  <c r="M532" i="6" l="1"/>
  <c r="L532" i="6" l="1"/>
  <c r="M543" i="6" l="1"/>
  <c r="M544" i="6"/>
  <c r="K544" i="6"/>
  <c r="L544" i="6" s="1"/>
  <c r="M502" i="6" l="1"/>
  <c r="L502" i="6"/>
  <c r="M501" i="6"/>
  <c r="L501" i="6"/>
  <c r="M542" i="6" l="1"/>
  <c r="L542" i="6"/>
  <c r="M571" i="6" l="1"/>
  <c r="L571" i="6"/>
  <c r="M570" i="6"/>
  <c r="L570" i="6"/>
  <c r="M569" i="6"/>
  <c r="L569" i="6"/>
  <c r="L568" i="6"/>
  <c r="M568" i="6"/>
  <c r="L567" i="6"/>
  <c r="M567" i="6"/>
  <c r="L566" i="6"/>
  <c r="M565" i="6"/>
  <c r="L565" i="6"/>
  <c r="L564" i="6"/>
  <c r="L556" i="6"/>
  <c r="L563" i="6" l="1"/>
  <c r="L562" i="6"/>
  <c r="L561" i="6"/>
  <c r="L560" i="6"/>
  <c r="L559" i="6"/>
  <c r="L558" i="6"/>
  <c r="L557" i="6"/>
  <c r="M556" i="6"/>
  <c r="L555" i="6"/>
  <c r="L554" i="6"/>
  <c r="M553" i="6"/>
  <c r="L553" i="6"/>
  <c r="M552" i="6"/>
  <c r="L552" i="6"/>
  <c r="L551" i="6"/>
  <c r="M551" i="6"/>
  <c r="M550" i="6"/>
  <c r="L550" i="6"/>
  <c r="M572" i="6"/>
  <c r="M566" i="6"/>
  <c r="M564" i="6"/>
  <c r="M563" i="6"/>
  <c r="M562" i="6"/>
  <c r="M561" i="6"/>
  <c r="M560" i="6"/>
  <c r="M559" i="6"/>
  <c r="M558" i="6"/>
  <c r="M557" i="6"/>
  <c r="M555" i="6"/>
  <c r="M554" i="6"/>
  <c r="M549" i="6"/>
  <c r="M548" i="6"/>
  <c r="M547" i="6"/>
  <c r="M546" i="6"/>
  <c r="M545" i="6"/>
  <c r="M541" i="6"/>
  <c r="M540" i="6"/>
  <c r="M539" i="6"/>
  <c r="M538" i="6"/>
  <c r="M537" i="6"/>
  <c r="M536" i="6"/>
  <c r="M535" i="6"/>
  <c r="M534" i="6"/>
  <c r="M533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L549" i="6"/>
  <c r="L548" i="6"/>
  <c r="L547" i="6"/>
  <c r="L546" i="6"/>
  <c r="L545" i="6"/>
  <c r="L543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9" i="6"/>
  <c r="L507" i="6"/>
  <c r="L506" i="6"/>
  <c r="L505" i="6"/>
  <c r="L504" i="6"/>
  <c r="L503" i="6"/>
  <c r="J572" i="6"/>
  <c r="K572" i="6" s="1"/>
  <c r="M573" i="6" l="1"/>
  <c r="L572" i="6"/>
  <c r="S21" i="3"/>
  <c r="I1519" i="7"/>
  <c r="J1519" i="7" s="1"/>
  <c r="K1388" i="7"/>
  <c r="I1388" i="7" s="1"/>
  <c r="J1388" i="7" s="1"/>
  <c r="K1514" i="7"/>
  <c r="I1518" i="7" l="1"/>
  <c r="J1518" i="7" s="1"/>
  <c r="I1517" i="7"/>
  <c r="J1517" i="7" s="1"/>
  <c r="K1460" i="7"/>
  <c r="K1389" i="7" l="1"/>
  <c r="K1481" i="7"/>
  <c r="K1412" i="7"/>
  <c r="K1473" i="7"/>
  <c r="K1497" i="7"/>
  <c r="K1451" i="7"/>
  <c r="K1511" i="7"/>
  <c r="K1506" i="7"/>
  <c r="K1509" i="7" l="1"/>
  <c r="K1508" i="7" l="1"/>
  <c r="K1507" i="7"/>
  <c r="K1478" i="7" l="1"/>
  <c r="K1479" i="7"/>
  <c r="K1394" i="7"/>
  <c r="K1470" i="7"/>
  <c r="K1504" i="7"/>
  <c r="K1503" i="7"/>
  <c r="K1408" i="7"/>
  <c r="K1500" i="7"/>
  <c r="K1469" i="7"/>
  <c r="K1262" i="7"/>
  <c r="K1263" i="7" l="1"/>
  <c r="K1277" i="7"/>
  <c r="K1261" i="7"/>
  <c r="K1321" i="7"/>
  <c r="K1322" i="7"/>
  <c r="K1237" i="7"/>
  <c r="K1498" i="7" l="1"/>
  <c r="K1427" i="7"/>
  <c r="K1465" i="7"/>
  <c r="K1438" i="7"/>
  <c r="K1435" i="7"/>
  <c r="K1475" i="7"/>
  <c r="K1405" i="7"/>
  <c r="K1401" i="7"/>
  <c r="K1413" i="7"/>
  <c r="K1404" i="7"/>
  <c r="K1463" i="7" l="1"/>
  <c r="K1436" i="7" l="1"/>
  <c r="K1452" i="7"/>
  <c r="K1444" i="7"/>
  <c r="K1486" i="7"/>
  <c r="K1484" i="7"/>
  <c r="K1415" i="7"/>
  <c r="K1442" i="7"/>
  <c r="K1454" i="7"/>
  <c r="L539" i="6" l="1"/>
  <c r="K1468" i="7"/>
  <c r="K1373" i="7"/>
  <c r="K1420" i="7"/>
  <c r="K1376" i="7"/>
  <c r="K1375" i="7"/>
  <c r="K1443" i="7"/>
  <c r="K1441" i="7"/>
  <c r="K1384" i="7"/>
  <c r="K1398" i="7"/>
  <c r="K1402" i="7"/>
  <c r="K1433" i="7"/>
  <c r="K1462" i="7" l="1"/>
  <c r="K1448" i="7"/>
  <c r="K1439" i="7"/>
  <c r="K1440" i="7"/>
  <c r="K1457" i="7"/>
  <c r="K1416" i="7"/>
  <c r="K1434" i="7"/>
  <c r="K1422" i="7"/>
  <c r="K1423" i="7"/>
  <c r="K1403" i="7"/>
  <c r="K1397" i="7"/>
  <c r="K1379" i="7"/>
  <c r="K1411" i="7"/>
  <c r="K1419" i="7"/>
  <c r="K1391" i="7"/>
  <c r="K1399" i="7"/>
  <c r="K1421" i="7"/>
  <c r="K1410" i="7"/>
  <c r="K1417" i="7"/>
  <c r="K1414" i="7"/>
  <c r="K1396" i="7"/>
  <c r="K1393" i="7"/>
  <c r="K1381" i="7"/>
  <c r="K1382" i="7"/>
  <c r="K1387" i="7"/>
  <c r="K1378" i="7" l="1"/>
  <c r="K1383" i="7"/>
  <c r="K1400" i="7"/>
  <c r="K1386" i="7"/>
  <c r="H573" i="6" l="1"/>
  <c r="L538" i="6" l="1"/>
  <c r="L535" i="6"/>
  <c r="L537" i="6"/>
  <c r="L534" i="6"/>
  <c r="L536" i="6"/>
  <c r="L533" i="6"/>
  <c r="M862" i="6"/>
  <c r="J862" i="6"/>
  <c r="K862" i="6" l="1"/>
  <c r="L862" i="6" s="1"/>
  <c r="J508" i="6" l="1"/>
  <c r="L530" i="6" l="1"/>
  <c r="L529" i="6"/>
  <c r="L525" i="6"/>
  <c r="L528" i="6"/>
  <c r="L524" i="6"/>
  <c r="L531" i="6"/>
  <c r="L527" i="6"/>
  <c r="K508" i="6"/>
  <c r="L508" i="6" s="1"/>
  <c r="L526" i="6"/>
  <c r="L541" i="6"/>
  <c r="L540" i="6"/>
  <c r="AK20" i="11"/>
  <c r="AK17" i="11"/>
  <c r="AK16" i="11"/>
  <c r="AK18" i="11"/>
  <c r="P407" i="10"/>
  <c r="P400" i="10"/>
  <c r="P393" i="10"/>
  <c r="P376" i="10"/>
  <c r="AL14" i="11"/>
  <c r="AM14" i="11"/>
  <c r="AM11" i="11"/>
  <c r="AL11" i="11"/>
  <c r="AH11" i="11"/>
  <c r="AM20" i="11"/>
  <c r="AM16" i="11"/>
  <c r="AK19" i="11"/>
  <c r="AM19" i="11" l="1"/>
  <c r="AM18" i="11"/>
  <c r="AM17" i="11"/>
  <c r="AM15" i="11"/>
  <c r="AM13" i="11"/>
  <c r="AM12" i="11"/>
  <c r="AL13" i="11"/>
  <c r="AL15" i="11"/>
  <c r="AL12" i="11"/>
  <c r="AG17" i="11"/>
  <c r="AK11" i="11"/>
  <c r="L359" i="10" l="1"/>
  <c r="L358" i="10"/>
  <c r="L357" i="10"/>
  <c r="L356" i="10"/>
  <c r="L355" i="10"/>
  <c r="N336" i="10"/>
  <c r="R330" i="10"/>
  <c r="K1324" i="7" l="1"/>
  <c r="K1323" i="7"/>
  <c r="K1228" i="7"/>
  <c r="K1318" i="7" l="1"/>
  <c r="K1319" i="7" l="1"/>
  <c r="K1315" i="7"/>
  <c r="K1293" i="7"/>
  <c r="I1324" i="7" l="1"/>
  <c r="J1324" i="7" s="1"/>
  <c r="I1325" i="7"/>
  <c r="J1325" i="7" s="1"/>
  <c r="I1326" i="7"/>
  <c r="J1326" i="7" s="1"/>
  <c r="I1327" i="7"/>
  <c r="J1327" i="7" s="1"/>
  <c r="I1328" i="7"/>
  <c r="J1328" i="7" s="1"/>
  <c r="I1329" i="7"/>
  <c r="J1329" i="7" s="1"/>
  <c r="I1330" i="7"/>
  <c r="J1330" i="7" s="1"/>
  <c r="I1321" i="7"/>
  <c r="J1321" i="7" s="1"/>
  <c r="I1322" i="7"/>
  <c r="J1322" i="7" s="1"/>
  <c r="I1331" i="7"/>
  <c r="J1331" i="7" s="1"/>
  <c r="M492" i="6"/>
  <c r="L493" i="6"/>
  <c r="M493" i="6"/>
  <c r="L494" i="6"/>
  <c r="M494" i="6"/>
  <c r="L495" i="6"/>
  <c r="M495" i="6"/>
  <c r="L492" i="6" l="1"/>
  <c r="K1267" i="7" l="1"/>
  <c r="K1274" i="7"/>
  <c r="K1305" i="7"/>
  <c r="K1154" i="7"/>
  <c r="K1190" i="7"/>
  <c r="K1162" i="7"/>
  <c r="K1167" i="7"/>
  <c r="K1193" i="7"/>
  <c r="K1297" i="7" l="1"/>
  <c r="K1299" i="7"/>
  <c r="K1216" i="7"/>
  <c r="K1158" i="7"/>
  <c r="K1279" i="7"/>
  <c r="K1280" i="7"/>
  <c r="K1225" i="7"/>
  <c r="K1300" i="7"/>
  <c r="K1285" i="7"/>
  <c r="K1265" i="7"/>
  <c r="K1260" i="7"/>
  <c r="K1246" i="7"/>
  <c r="K1258" i="7"/>
  <c r="K1271" i="7" l="1"/>
  <c r="K1201" i="7"/>
  <c r="K1292" i="7"/>
  <c r="K1296" i="7"/>
  <c r="K1270" i="7" l="1"/>
  <c r="K1252" i="7"/>
  <c r="K1251" i="7"/>
  <c r="K1272" i="7"/>
  <c r="K1174" i="7"/>
  <c r="K1266" i="7"/>
  <c r="K1275" i="7"/>
  <c r="K1192" i="7"/>
  <c r="K1232" i="7"/>
  <c r="K1273" i="7"/>
  <c r="K1205" i="7"/>
  <c r="K1188" i="7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323" i="7"/>
  <c r="J1323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K1282" i="7"/>
  <c r="K1230" i="7"/>
  <c r="K1278" i="7"/>
  <c r="K1180" i="7"/>
  <c r="K1211" i="7"/>
  <c r="K1268" i="7"/>
  <c r="K1236" i="7" l="1"/>
  <c r="K1250" i="7" l="1"/>
  <c r="K1242" i="7"/>
  <c r="K1259" i="7"/>
  <c r="K1226" i="7"/>
  <c r="K1255" i="7"/>
  <c r="K1181" i="7" l="1"/>
  <c r="K1264" i="7"/>
  <c r="K1159" i="7"/>
  <c r="K1256" i="7"/>
  <c r="K1253" i="7"/>
  <c r="K1204" i="7"/>
  <c r="K1248" i="7"/>
  <c r="K1240" i="7"/>
  <c r="K1151" i="7" l="1"/>
  <c r="K1257" i="7"/>
  <c r="K1234" i="7"/>
  <c r="K1224" i="7"/>
  <c r="I1145" i="7"/>
  <c r="J1145" i="7" s="1"/>
  <c r="K1247" i="7" l="1"/>
  <c r="K1249" i="7"/>
  <c r="K1176" i="7"/>
  <c r="K1212" i="7"/>
  <c r="K1254" i="7"/>
  <c r="K1146" i="7"/>
  <c r="K1238" i="7"/>
  <c r="K1219" i="7"/>
  <c r="K1177" i="7"/>
  <c r="K1209" i="7"/>
  <c r="K1213" i="7"/>
  <c r="K1239" i="7"/>
  <c r="K1215" i="7"/>
  <c r="K1243" i="7"/>
  <c r="L491" i="6" l="1"/>
  <c r="M491" i="6"/>
  <c r="K1223" i="7" l="1"/>
  <c r="K1161" i="7"/>
  <c r="K1165" i="7"/>
  <c r="K1200" i="7"/>
  <c r="K1155" i="7"/>
  <c r="K1203" i="7" l="1"/>
  <c r="K1210" i="7"/>
  <c r="K1186" i="7"/>
  <c r="K1187" i="7"/>
  <c r="K1196" i="7"/>
  <c r="K1184" i="7"/>
  <c r="K1214" i="7"/>
  <c r="K1185" i="7"/>
  <c r="K1150" i="7"/>
  <c r="K1148" i="7"/>
  <c r="K1179" i="7"/>
  <c r="K1168" i="7"/>
  <c r="K1175" i="7"/>
  <c r="K1156" i="7"/>
  <c r="K1153" i="7"/>
  <c r="K1199" i="7"/>
  <c r="K1182" i="7" l="1"/>
  <c r="K1160" i="7"/>
  <c r="K1171" i="7"/>
  <c r="K1157" i="7"/>
  <c r="K1164" i="7"/>
  <c r="K1194" i="7"/>
  <c r="K1163" i="7" l="1"/>
  <c r="K1178" i="7"/>
  <c r="K1147" i="7"/>
  <c r="L489" i="6" l="1"/>
  <c r="M489" i="6"/>
  <c r="L490" i="6"/>
  <c r="M490" i="6"/>
  <c r="M451" i="6" l="1"/>
  <c r="L451" i="6"/>
  <c r="AG16" i="11" l="1"/>
  <c r="P362" i="10"/>
  <c r="P351" i="10"/>
  <c r="AH14" i="11"/>
  <c r="AI13" i="11"/>
  <c r="AH13" i="11"/>
  <c r="M452" i="6" l="1"/>
  <c r="L453" i="6"/>
  <c r="M453" i="6"/>
  <c r="L454" i="6"/>
  <c r="M454" i="6"/>
  <c r="L481" i="6"/>
  <c r="M481" i="6"/>
  <c r="L482" i="6"/>
  <c r="M482" i="6"/>
  <c r="L483" i="6"/>
  <c r="M483" i="6"/>
  <c r="L484" i="6"/>
  <c r="M484" i="6"/>
  <c r="L485" i="6"/>
  <c r="M485" i="6"/>
  <c r="L486" i="6"/>
  <c r="M486" i="6"/>
  <c r="L487" i="6"/>
  <c r="M487" i="6"/>
  <c r="L488" i="6"/>
  <c r="M488" i="6"/>
  <c r="L448" i="6"/>
  <c r="M448" i="6"/>
  <c r="L449" i="6"/>
  <c r="M449" i="6"/>
  <c r="L450" i="6"/>
  <c r="M450" i="6"/>
  <c r="M447" i="6"/>
  <c r="J447" i="6"/>
  <c r="K447" i="6" s="1"/>
  <c r="L452" i="6" l="1"/>
  <c r="L447" i="6"/>
  <c r="M785" i="6"/>
  <c r="J785" i="6"/>
  <c r="M784" i="6"/>
  <c r="J784" i="6"/>
  <c r="K784" i="6" s="1"/>
  <c r="M700" i="6"/>
  <c r="K785" i="6" l="1"/>
  <c r="L785" i="6" s="1"/>
  <c r="L784" i="6"/>
  <c r="L700" i="6"/>
  <c r="M446" i="6"/>
  <c r="M445" i="6"/>
  <c r="L445" i="6" l="1"/>
  <c r="L446" i="6"/>
  <c r="L466" i="6"/>
  <c r="M466" i="6"/>
  <c r="L467" i="6"/>
  <c r="M467" i="6"/>
  <c r="L468" i="6"/>
  <c r="M468" i="6"/>
  <c r="L469" i="6"/>
  <c r="M469" i="6"/>
  <c r="L470" i="6"/>
  <c r="M470" i="6"/>
  <c r="L471" i="6"/>
  <c r="M471" i="6"/>
  <c r="L472" i="6"/>
  <c r="M472" i="6"/>
  <c r="L473" i="6"/>
  <c r="M473" i="6"/>
  <c r="L474" i="6"/>
  <c r="M474" i="6"/>
  <c r="L475" i="6"/>
  <c r="M475" i="6"/>
  <c r="L476" i="6"/>
  <c r="M476" i="6"/>
  <c r="L477" i="6"/>
  <c r="M477" i="6"/>
  <c r="L478" i="6"/>
  <c r="M478" i="6"/>
  <c r="L479" i="6"/>
  <c r="M479" i="6"/>
  <c r="L480" i="6"/>
  <c r="M480" i="6"/>
  <c r="H422" i="6" l="1"/>
  <c r="I422" i="6"/>
  <c r="H423" i="6"/>
  <c r="H424" i="6"/>
  <c r="I423" i="6"/>
  <c r="I424" i="6"/>
  <c r="L444" i="6"/>
  <c r="M444" i="6"/>
  <c r="L443" i="6"/>
  <c r="M443" i="6"/>
  <c r="H499" i="6" l="1"/>
  <c r="M424" i="6"/>
  <c r="M423" i="6"/>
  <c r="L423" i="6" l="1"/>
  <c r="L424" i="6"/>
  <c r="M442" i="6"/>
  <c r="M441" i="6"/>
  <c r="M440" i="6"/>
  <c r="M439" i="6"/>
  <c r="M438" i="6"/>
  <c r="M437" i="6"/>
  <c r="L437" i="6" l="1"/>
  <c r="L438" i="6"/>
  <c r="L439" i="6"/>
  <c r="L440" i="6"/>
  <c r="L441" i="6"/>
  <c r="L442" i="6"/>
  <c r="P344" i="10"/>
  <c r="P333" i="10"/>
  <c r="P321" i="10"/>
  <c r="AI14" i="11"/>
  <c r="AI16" i="11"/>
  <c r="AG20" i="11"/>
  <c r="AG19" i="11"/>
  <c r="AG18" i="11"/>
  <c r="AI20" i="11"/>
  <c r="AI19" i="11"/>
  <c r="AI18" i="11"/>
  <c r="AI17" i="11"/>
  <c r="AI15" i="11"/>
  <c r="AI12" i="11"/>
  <c r="AI11" i="11"/>
  <c r="AH15" i="11"/>
  <c r="AH12" i="11"/>
  <c r="AG11" i="11"/>
  <c r="H11" i="1" l="1"/>
  <c r="D316" i="10" l="1"/>
  <c r="E316" i="10"/>
  <c r="F316" i="10"/>
  <c r="G316" i="10"/>
  <c r="H316" i="10"/>
  <c r="J316" i="10"/>
  <c r="K316" i="10"/>
  <c r="M316" i="10"/>
  <c r="N316" i="10"/>
  <c r="O316" i="10"/>
  <c r="Q316" i="10"/>
  <c r="R316" i="10"/>
  <c r="C316" i="10"/>
  <c r="L312" i="10"/>
  <c r="L311" i="10"/>
  <c r="L310" i="10"/>
  <c r="L309" i="10"/>
  <c r="P306" i="10"/>
  <c r="L299" i="10"/>
  <c r="P298" i="10"/>
  <c r="P284" i="10"/>
  <c r="I281" i="10"/>
  <c r="I316" i="10" s="1"/>
  <c r="P269" i="10"/>
  <c r="L316" i="10" l="1"/>
  <c r="P316" i="10"/>
  <c r="M417" i="6"/>
  <c r="J417" i="6"/>
  <c r="M420" i="6"/>
  <c r="J420" i="6"/>
  <c r="K420" i="6" s="1"/>
  <c r="L418" i="6"/>
  <c r="M418" i="6"/>
  <c r="L419" i="6"/>
  <c r="M419" i="6"/>
  <c r="K417" i="6" l="1"/>
  <c r="L420" i="6"/>
  <c r="L417" i="6" l="1"/>
  <c r="L433" i="6"/>
  <c r="M433" i="6"/>
  <c r="L434" i="6"/>
  <c r="M434" i="6"/>
  <c r="L435" i="6"/>
  <c r="M435" i="6"/>
  <c r="L436" i="6"/>
  <c r="M436" i="6"/>
  <c r="L463" i="6"/>
  <c r="M463" i="6"/>
  <c r="L464" i="6"/>
  <c r="M464" i="6"/>
  <c r="L465" i="6"/>
  <c r="M465" i="6"/>
  <c r="L498" i="6"/>
  <c r="M498" i="6"/>
  <c r="K1089" i="7" l="1"/>
  <c r="L455" i="6" l="1"/>
  <c r="M455" i="6"/>
  <c r="L456" i="6"/>
  <c r="M456" i="6"/>
  <c r="L457" i="6"/>
  <c r="M457" i="6"/>
  <c r="L458" i="6"/>
  <c r="M458" i="6"/>
  <c r="L459" i="6"/>
  <c r="M459" i="6"/>
  <c r="L460" i="6"/>
  <c r="M460" i="6"/>
  <c r="L461" i="6"/>
  <c r="M461" i="6"/>
  <c r="L462" i="6"/>
  <c r="M462" i="6"/>
  <c r="L422" i="6"/>
  <c r="M422" i="6"/>
  <c r="L426" i="6"/>
  <c r="M426" i="6"/>
  <c r="L427" i="6"/>
  <c r="M427" i="6"/>
  <c r="L428" i="6"/>
  <c r="M428" i="6"/>
  <c r="L429" i="6"/>
  <c r="M429" i="6"/>
  <c r="L430" i="6"/>
  <c r="M430" i="6"/>
  <c r="L431" i="6"/>
  <c r="M431" i="6"/>
  <c r="L432" i="6"/>
  <c r="M432" i="6"/>
  <c r="M497" i="6"/>
  <c r="M496" i="6" l="1"/>
  <c r="K1098" i="7"/>
  <c r="K1097" i="7"/>
  <c r="K1096" i="7"/>
  <c r="K1095" i="7"/>
  <c r="K1094" i="7"/>
  <c r="K1093" i="7"/>
  <c r="K1092" i="7"/>
  <c r="K1086" i="7"/>
  <c r="K1029" i="7"/>
  <c r="L497" i="6" l="1"/>
  <c r="L496" i="6"/>
  <c r="L376" i="6"/>
  <c r="M376" i="6"/>
  <c r="L377" i="6"/>
  <c r="M377" i="6"/>
  <c r="L378" i="6"/>
  <c r="M378" i="6"/>
  <c r="L379" i="6"/>
  <c r="M379" i="6"/>
  <c r="L380" i="6"/>
  <c r="M380" i="6"/>
  <c r="L343" i="6"/>
  <c r="M343" i="6"/>
  <c r="L344" i="6"/>
  <c r="M344" i="6"/>
  <c r="L345" i="6"/>
  <c r="M345" i="6"/>
  <c r="K1040" i="7" l="1"/>
  <c r="K1037" i="7"/>
  <c r="K946" i="7"/>
  <c r="K1087" i="7"/>
  <c r="K1088" i="7"/>
  <c r="K1066" i="7"/>
  <c r="K1023" i="7"/>
  <c r="K1035" i="7"/>
  <c r="K1038" i="7"/>
  <c r="K1067" i="7" l="1"/>
  <c r="K1017" i="7"/>
  <c r="K950" i="7"/>
  <c r="K945" i="7"/>
  <c r="K998" i="7" l="1"/>
  <c r="K960" i="7"/>
  <c r="K1059" i="7"/>
  <c r="K1036" i="7"/>
  <c r="K976" i="7"/>
  <c r="K1015" i="7"/>
  <c r="K1074" i="7"/>
  <c r="K1071" i="7"/>
  <c r="K1070" i="7"/>
  <c r="K1069" i="7"/>
  <c r="K1068" i="7" l="1"/>
  <c r="I1068" i="7" s="1"/>
  <c r="J1068" i="7" s="1"/>
  <c r="K947" i="7"/>
  <c r="I1098" i="7" l="1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7" i="7"/>
  <c r="J1067" i="7" s="1"/>
  <c r="I1066" i="7"/>
  <c r="J1066" i="7" s="1"/>
  <c r="K972" i="7" l="1"/>
  <c r="K1026" i="7"/>
  <c r="K936" i="7"/>
  <c r="K968" i="7"/>
  <c r="K964" i="7"/>
  <c r="K1027" i="7"/>
  <c r="K955" i="7"/>
  <c r="K980" i="7"/>
  <c r="K971" i="7"/>
  <c r="K1028" i="7"/>
  <c r="K952" i="7"/>
  <c r="K1039" i="7"/>
  <c r="K1025" i="7"/>
  <c r="K1018" i="7"/>
  <c r="K1034" i="7"/>
  <c r="K1024" i="7" l="1"/>
  <c r="K930" i="7"/>
  <c r="K990" i="7"/>
  <c r="K953" i="7"/>
  <c r="K966" i="7"/>
  <c r="K1016" i="7"/>
  <c r="K1010" i="7"/>
  <c r="K933" i="7"/>
  <c r="K1000" i="7"/>
  <c r="K962" i="7"/>
  <c r="K1012" i="7"/>
  <c r="K931" i="7"/>
  <c r="K977" i="7" l="1"/>
  <c r="K1011" i="7"/>
  <c r="K940" i="7"/>
  <c r="K1001" i="7"/>
  <c r="K1013" i="7"/>
  <c r="K1007" i="7"/>
  <c r="K961" i="7"/>
  <c r="K963" i="7"/>
  <c r="K967" i="7"/>
  <c r="K1003" i="7"/>
  <c r="K941" i="7"/>
  <c r="K944" i="7"/>
  <c r="K954" i="7"/>
  <c r="K979" i="7"/>
  <c r="K982" i="7"/>
  <c r="K1009" i="7"/>
  <c r="K999" i="7"/>
  <c r="K1002" i="7"/>
  <c r="K984" i="7"/>
  <c r="K957" i="7"/>
  <c r="K975" i="7"/>
  <c r="K937" i="7"/>
  <c r="K969" i="7" l="1"/>
  <c r="K935" i="7"/>
  <c r="K949" i="7"/>
  <c r="K942" i="7"/>
  <c r="K932" i="7"/>
  <c r="K948" i="7" l="1"/>
  <c r="K939" i="7" l="1"/>
  <c r="K943" i="7"/>
  <c r="L372" i="6" l="1"/>
  <c r="M372" i="6"/>
  <c r="L373" i="6"/>
  <c r="M373" i="6"/>
  <c r="L374" i="6"/>
  <c r="M374" i="6"/>
  <c r="L375" i="6"/>
  <c r="M375" i="6"/>
  <c r="L413" i="6"/>
  <c r="M413" i="6"/>
  <c r="L408" i="6"/>
  <c r="M408" i="6"/>
  <c r="L409" i="6"/>
  <c r="M409" i="6"/>
  <c r="L410" i="6"/>
  <c r="M410" i="6"/>
  <c r="L403" i="6" l="1"/>
  <c r="M403" i="6"/>
  <c r="L404" i="6"/>
  <c r="M404" i="6"/>
  <c r="L405" i="6"/>
  <c r="M405" i="6"/>
  <c r="L406" i="6"/>
  <c r="M406" i="6"/>
  <c r="M407" i="6"/>
  <c r="L342" i="6"/>
  <c r="M342" i="6"/>
  <c r="L363" i="6"/>
  <c r="M363" i="6"/>
  <c r="L364" i="6"/>
  <c r="M364" i="6"/>
  <c r="L365" i="6"/>
  <c r="M365" i="6"/>
  <c r="L366" i="6"/>
  <c r="M366" i="6"/>
  <c r="L367" i="6"/>
  <c r="M367" i="6"/>
  <c r="L368" i="6"/>
  <c r="M368" i="6"/>
  <c r="L369" i="6"/>
  <c r="M369" i="6"/>
  <c r="L370" i="6"/>
  <c r="M370" i="6"/>
  <c r="L371" i="6"/>
  <c r="M371" i="6"/>
  <c r="L407" i="6" l="1"/>
  <c r="AE20" i="11"/>
  <c r="AE19" i="11"/>
  <c r="AE18" i="11"/>
  <c r="AE17" i="11"/>
  <c r="AE16" i="11"/>
  <c r="AE15" i="11"/>
  <c r="AD14" i="11"/>
  <c r="AE14" i="11"/>
  <c r="AE13" i="11"/>
  <c r="AE12" i="11"/>
  <c r="AE11" i="11"/>
  <c r="AC20" i="11"/>
  <c r="AC19" i="11"/>
  <c r="AC18" i="11"/>
  <c r="AC17" i="11"/>
  <c r="AC16" i="11"/>
  <c r="T17" i="11"/>
  <c r="L383" i="6" l="1"/>
  <c r="M383" i="6"/>
  <c r="L384" i="6"/>
  <c r="M384" i="6"/>
  <c r="L361" i="6"/>
  <c r="M361" i="6"/>
  <c r="L362" i="6"/>
  <c r="M362" i="6"/>
  <c r="L401" i="6"/>
  <c r="M401" i="6"/>
  <c r="L402" i="6"/>
  <c r="M402" i="6"/>
  <c r="AD15" i="11" l="1"/>
  <c r="AD13" i="11"/>
  <c r="AD12" i="11"/>
  <c r="AD11" i="11"/>
  <c r="AC11" i="11"/>
  <c r="L412" i="6" l="1"/>
  <c r="M412" i="6"/>
  <c r="L414" i="6"/>
  <c r="M414" i="6"/>
  <c r="L382" i="6"/>
  <c r="M382" i="6"/>
  <c r="L354" i="6"/>
  <c r="M354" i="6"/>
  <c r="L355" i="6"/>
  <c r="M355" i="6"/>
  <c r="L356" i="6"/>
  <c r="M356" i="6"/>
  <c r="L357" i="6"/>
  <c r="M357" i="6"/>
  <c r="L358" i="6"/>
  <c r="M358" i="6"/>
  <c r="L359" i="6"/>
  <c r="M359" i="6"/>
  <c r="L360" i="6"/>
  <c r="M360" i="6"/>
  <c r="L398" i="6"/>
  <c r="M398" i="6"/>
  <c r="L399" i="6"/>
  <c r="M399" i="6"/>
  <c r="L400" i="6"/>
  <c r="M400" i="6"/>
  <c r="G11" i="1" l="1"/>
  <c r="K846" i="7"/>
  <c r="K721" i="7"/>
  <c r="L224" i="10"/>
  <c r="L223" i="10"/>
  <c r="L222" i="10"/>
  <c r="L221" i="10"/>
  <c r="L261" i="10" l="1"/>
  <c r="L260" i="10"/>
  <c r="L259" i="10"/>
  <c r="L258" i="10"/>
  <c r="K780" i="7" l="1"/>
  <c r="L381" i="6" l="1"/>
  <c r="M381" i="6"/>
  <c r="L411" i="6"/>
  <c r="M411" i="6"/>
  <c r="L395" i="6"/>
  <c r="M395" i="6"/>
  <c r="L396" i="6"/>
  <c r="M396" i="6"/>
  <c r="L397" i="6"/>
  <c r="M397" i="6"/>
  <c r="L385" i="6"/>
  <c r="M385" i="6"/>
  <c r="L386" i="6"/>
  <c r="M386" i="6"/>
  <c r="L387" i="6"/>
  <c r="M387" i="6"/>
  <c r="L388" i="6"/>
  <c r="M388" i="6"/>
  <c r="L389" i="6"/>
  <c r="M389" i="6"/>
  <c r="L390" i="6"/>
  <c r="M390" i="6"/>
  <c r="L391" i="6"/>
  <c r="M391" i="6"/>
  <c r="L392" i="6"/>
  <c r="M392" i="6"/>
  <c r="L393" i="6"/>
  <c r="M393" i="6"/>
  <c r="L394" i="6"/>
  <c r="M394" i="6"/>
  <c r="L346" i="6"/>
  <c r="M346" i="6"/>
  <c r="L347" i="6"/>
  <c r="M347" i="6"/>
  <c r="L348" i="6"/>
  <c r="M348" i="6"/>
  <c r="L349" i="6"/>
  <c r="M349" i="6"/>
  <c r="L350" i="6"/>
  <c r="M350" i="6"/>
  <c r="L351" i="6"/>
  <c r="M351" i="6"/>
  <c r="L352" i="6"/>
  <c r="M352" i="6"/>
  <c r="L353" i="6"/>
  <c r="M353" i="6"/>
  <c r="K828" i="7" l="1"/>
  <c r="K880" i="7"/>
  <c r="K739" i="7" l="1"/>
  <c r="K833" i="7"/>
  <c r="K848" i="7"/>
  <c r="K877" i="7"/>
  <c r="I877" i="7" s="1"/>
  <c r="J877" i="7" s="1"/>
  <c r="K870" i="7"/>
  <c r="K810" i="7"/>
  <c r="K738" i="7"/>
  <c r="K852" i="7"/>
  <c r="K802" i="7"/>
  <c r="K869" i="7"/>
  <c r="K734" i="7"/>
  <c r="K830" i="7"/>
  <c r="K832" i="7"/>
  <c r="K814" i="7"/>
  <c r="K818" i="7"/>
  <c r="K794" i="7"/>
  <c r="K874" i="7"/>
  <c r="I874" i="7" s="1"/>
  <c r="J874" i="7" s="1"/>
  <c r="K824" i="7"/>
  <c r="K773" i="7"/>
  <c r="K797" i="7"/>
  <c r="K778" i="7"/>
  <c r="I880" i="7"/>
  <c r="J880" i="7" s="1"/>
  <c r="I879" i="7"/>
  <c r="J879" i="7" s="1"/>
  <c r="I878" i="7"/>
  <c r="J878" i="7" s="1"/>
  <c r="I876" i="7"/>
  <c r="J876" i="7" s="1"/>
  <c r="I875" i="7"/>
  <c r="J875" i="7" s="1"/>
  <c r="I873" i="7"/>
  <c r="J873" i="7" s="1"/>
  <c r="I872" i="7"/>
  <c r="J872" i="7" s="1"/>
  <c r="K851" i="7"/>
  <c r="K843" i="7"/>
  <c r="K835" i="7"/>
  <c r="K723" i="7" l="1"/>
  <c r="K864" i="7"/>
  <c r="K858" i="7"/>
  <c r="K863" i="7"/>
  <c r="K861" i="7"/>
  <c r="K859" i="7"/>
  <c r="K860" i="7"/>
  <c r="K726" i="7"/>
  <c r="K857" i="7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K729" i="7"/>
  <c r="K727" i="7"/>
  <c r="K815" i="7" l="1"/>
  <c r="K855" i="7"/>
  <c r="K786" i="7"/>
  <c r="K767" i="7"/>
  <c r="K779" i="7"/>
  <c r="K842" i="7"/>
  <c r="K801" i="7"/>
  <c r="K829" i="7"/>
  <c r="K785" i="7"/>
  <c r="K742" i="7" l="1"/>
  <c r="K839" i="7"/>
  <c r="K817" i="7"/>
  <c r="K808" i="7"/>
  <c r="K813" i="7" l="1"/>
  <c r="K775" i="7"/>
  <c r="K809" i="7"/>
  <c r="K834" i="7"/>
  <c r="K732" i="7"/>
  <c r="K837" i="7"/>
  <c r="K804" i="7"/>
  <c r="K827" i="7"/>
  <c r="K782" i="7"/>
  <c r="K769" i="7"/>
  <c r="K741" i="7"/>
  <c r="K758" i="7"/>
  <c r="K771" i="7"/>
  <c r="K754" i="7"/>
  <c r="K811" i="7"/>
  <c r="K807" i="7"/>
  <c r="K749" i="7"/>
  <c r="K798" i="7"/>
  <c r="K819" i="7"/>
  <c r="K768" i="7"/>
  <c r="K764" i="7"/>
  <c r="K753" i="7"/>
  <c r="K805" i="7"/>
  <c r="K746" i="7"/>
  <c r="K762" i="7"/>
  <c r="K781" i="7"/>
  <c r="K787" i="7" l="1"/>
  <c r="K795" i="7"/>
  <c r="K777" i="7"/>
  <c r="K776" i="7" l="1"/>
  <c r="K755" i="7"/>
  <c r="K784" i="7"/>
  <c r="L300" i="6" l="1"/>
  <c r="M300" i="6"/>
  <c r="L337" i="6"/>
  <c r="M337" i="6"/>
  <c r="K761" i="7" l="1"/>
  <c r="K748" i="7"/>
  <c r="K743" i="7"/>
  <c r="K763" i="7"/>
  <c r="K759" i="7"/>
  <c r="K757" i="7"/>
  <c r="K733" i="7"/>
  <c r="K740" i="7"/>
  <c r="K735" i="7"/>
  <c r="K765" i="7"/>
  <c r="K766" i="7"/>
  <c r="K744" i="7"/>
  <c r="K731" i="7" l="1"/>
  <c r="K730" i="7"/>
  <c r="K745" i="7"/>
  <c r="K728" i="7"/>
  <c r="K725" i="7"/>
  <c r="K724" i="7"/>
  <c r="M265" i="6" l="1"/>
  <c r="M264" i="6"/>
  <c r="M263" i="6"/>
  <c r="L265" i="6" l="1"/>
  <c r="L264" i="6"/>
  <c r="L263" i="6"/>
  <c r="L296" i="6"/>
  <c r="M296" i="6"/>
  <c r="L297" i="6"/>
  <c r="M297" i="6"/>
  <c r="L298" i="6"/>
  <c r="M298" i="6"/>
  <c r="L299" i="6"/>
  <c r="M299" i="6"/>
  <c r="L254" i="6"/>
  <c r="M254" i="6"/>
  <c r="L339" i="6"/>
  <c r="M339" i="6"/>
  <c r="L338" i="6"/>
  <c r="M338" i="6"/>
  <c r="L333" i="6" l="1"/>
  <c r="M333" i="6"/>
  <c r="L335" i="6" l="1"/>
  <c r="M335" i="6"/>
  <c r="M334" i="6"/>
  <c r="L330" i="6"/>
  <c r="M330" i="6"/>
  <c r="L331" i="6"/>
  <c r="M331" i="6"/>
  <c r="L332" i="6"/>
  <c r="M332" i="6"/>
  <c r="L283" i="6"/>
  <c r="M283" i="6"/>
  <c r="L284" i="6"/>
  <c r="M284" i="6"/>
  <c r="L285" i="6"/>
  <c r="M285" i="6"/>
  <c r="L286" i="6"/>
  <c r="M286" i="6"/>
  <c r="L287" i="6"/>
  <c r="M287" i="6"/>
  <c r="L288" i="6"/>
  <c r="M288" i="6"/>
  <c r="L289" i="6"/>
  <c r="M289" i="6"/>
  <c r="L290" i="6"/>
  <c r="M290" i="6"/>
  <c r="L291" i="6"/>
  <c r="M291" i="6"/>
  <c r="L292" i="6"/>
  <c r="M292" i="6"/>
  <c r="L293" i="6"/>
  <c r="M293" i="6"/>
  <c r="L294" i="6"/>
  <c r="M294" i="6"/>
  <c r="L295" i="6"/>
  <c r="M295" i="6"/>
  <c r="L334" i="6" l="1"/>
  <c r="M329" i="6"/>
  <c r="M328" i="6"/>
  <c r="L328" i="6" l="1"/>
  <c r="L329" i="6"/>
  <c r="P257" i="10"/>
  <c r="P249" i="10"/>
  <c r="P241" i="10"/>
  <c r="P220" i="10"/>
  <c r="AA16" i="11"/>
  <c r="AA14" i="11"/>
  <c r="Z14" i="11"/>
  <c r="Y20" i="11" l="1"/>
  <c r="Y19" i="11"/>
  <c r="Y18" i="11"/>
  <c r="Y17" i="11"/>
  <c r="Y16" i="11"/>
  <c r="AA11" i="11"/>
  <c r="L281" i="6" l="1"/>
  <c r="M281" i="6"/>
  <c r="L282" i="6"/>
  <c r="M282" i="6"/>
  <c r="L327" i="6"/>
  <c r="M327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36" i="6" l="1"/>
  <c r="M336" i="6"/>
  <c r="L272" i="6"/>
  <c r="M272" i="6"/>
  <c r="L273" i="6"/>
  <c r="M273" i="6"/>
  <c r="L274" i="6"/>
  <c r="M274" i="6"/>
  <c r="L275" i="6"/>
  <c r="M275" i="6"/>
  <c r="L276" i="6"/>
  <c r="M276" i="6"/>
  <c r="L277" i="6"/>
  <c r="M277" i="6"/>
  <c r="L278" i="6"/>
  <c r="M278" i="6"/>
  <c r="L279" i="6"/>
  <c r="M279" i="6"/>
  <c r="L280" i="6"/>
  <c r="M280" i="6"/>
  <c r="L262" i="6"/>
  <c r="M262" i="6"/>
  <c r="L310" i="6"/>
  <c r="M310" i="6"/>
  <c r="L311" i="6"/>
  <c r="M311" i="6"/>
  <c r="L312" i="6"/>
  <c r="M312" i="6"/>
  <c r="L313" i="6"/>
  <c r="M313" i="6"/>
  <c r="L314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L302" i="6" l="1"/>
  <c r="M302" i="6"/>
  <c r="L260" i="6"/>
  <c r="M260" i="6"/>
  <c r="L261" i="6"/>
  <c r="M261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308" i="6"/>
  <c r="M308" i="6"/>
  <c r="L309" i="6"/>
  <c r="M309" i="6"/>
  <c r="L301" i="6" l="1"/>
  <c r="M301" i="6"/>
  <c r="L255" i="6"/>
  <c r="M255" i="6"/>
  <c r="L256" i="6"/>
  <c r="M256" i="6"/>
  <c r="L257" i="6"/>
  <c r="M257" i="6"/>
  <c r="L258" i="6"/>
  <c r="M258" i="6"/>
  <c r="L259" i="6"/>
  <c r="M259" i="6"/>
  <c r="L303" i="6"/>
  <c r="M303" i="6"/>
  <c r="L304" i="6"/>
  <c r="M304" i="6"/>
  <c r="L305" i="6"/>
  <c r="M305" i="6"/>
  <c r="L306" i="6"/>
  <c r="M306" i="6"/>
  <c r="L307" i="6"/>
  <c r="M307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T19" i="11" l="1"/>
  <c r="T20" i="11"/>
  <c r="T18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 s="1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M21" i="1" s="1"/>
  <c r="BA22" i="11"/>
  <c r="BA24" i="11" s="1"/>
  <c r="M20" i="1" s="1"/>
  <c r="AZ22" i="11"/>
  <c r="AZ24" i="11" s="1"/>
  <c r="AY22" i="11"/>
  <c r="AY24" i="11" s="1"/>
  <c r="AX22" i="11"/>
  <c r="AX24" i="11" s="1"/>
  <c r="L21" i="1" s="1"/>
  <c r="AW22" i="11"/>
  <c r="AV22" i="11"/>
  <c r="AV24" i="11" s="1"/>
  <c r="AU22" i="11"/>
  <c r="AU24" i="11" s="1"/>
  <c r="AT22" i="11"/>
  <c r="AT24" i="11" s="1"/>
  <c r="K21" i="1" s="1"/>
  <c r="AS22" i="11"/>
  <c r="AR22" i="11"/>
  <c r="AR24" i="11" s="1"/>
  <c r="AQ22" i="11"/>
  <c r="AQ24" i="11" s="1"/>
  <c r="AP22" i="11"/>
  <c r="AP24" i="11" s="1"/>
  <c r="J21" i="1" s="1"/>
  <c r="AO22" i="11"/>
  <c r="AN22" i="11"/>
  <c r="AN24" i="11" s="1"/>
  <c r="AM22" i="11"/>
  <c r="AM24" i="11" s="1"/>
  <c r="AL22" i="11"/>
  <c r="AL24" i="11" s="1"/>
  <c r="I21" i="1" s="1"/>
  <c r="AK22" i="11"/>
  <c r="AJ22" i="11"/>
  <c r="AJ24" i="11" s="1"/>
  <c r="AI22" i="11"/>
  <c r="AI24" i="11" s="1"/>
  <c r="AH22" i="11"/>
  <c r="AH24" i="11" s="1"/>
  <c r="H21" i="1" s="1"/>
  <c r="AG22" i="11"/>
  <c r="AF22" i="11"/>
  <c r="AF24" i="11" s="1"/>
  <c r="AE22" i="11"/>
  <c r="AE24" i="11" s="1"/>
  <c r="AD22" i="11"/>
  <c r="AD24" i="11" s="1"/>
  <c r="G21" i="1" s="1"/>
  <c r="AC22" i="1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F18" i="11"/>
  <c r="BG18" i="11" s="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H7" i="11"/>
  <c r="BF7" i="11"/>
  <c r="BG7" i="11" s="1"/>
  <c r="M22" i="1" l="1"/>
  <c r="M19" i="1" s="1"/>
  <c r="L22" i="1"/>
  <c r="AW24" i="11"/>
  <c r="L20" i="1" s="1"/>
  <c r="K22" i="1"/>
  <c r="AS24" i="11"/>
  <c r="K20" i="1" s="1"/>
  <c r="J22" i="1"/>
  <c r="AO24" i="11"/>
  <c r="J20" i="1" s="1"/>
  <c r="BI8" i="11"/>
  <c r="BJ8" i="11" s="1"/>
  <c r="BK8" i="11" s="1"/>
  <c r="BM8" i="11" s="1"/>
  <c r="BN8" i="11" s="1"/>
  <c r="BI10" i="11"/>
  <c r="BJ10" i="11" s="1"/>
  <c r="BK10" i="11" s="1"/>
  <c r="BM10" i="11" s="1"/>
  <c r="BN10" i="11" s="1"/>
  <c r="AK24" i="11"/>
  <c r="I20" i="1" s="1"/>
  <c r="I22" i="1"/>
  <c r="H22" i="1"/>
  <c r="AG24" i="11"/>
  <c r="H20" i="1" s="1"/>
  <c r="AC24" i="11"/>
  <c r="G20" i="1" s="1"/>
  <c r="G22" i="1"/>
  <c r="F22" i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K25" i="11"/>
  <c r="AO25" i="11"/>
  <c r="AS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I19" i="11" s="1"/>
  <c r="BJ19" i="11" s="1"/>
  <c r="BK19" i="11" s="1"/>
  <c r="BM19" i="11" s="1"/>
  <c r="BN19" i="11" s="1"/>
  <c r="BG13" i="11"/>
  <c r="BI13" i="11" s="1"/>
  <c r="BJ13" i="11" s="1"/>
  <c r="BK13" i="11" s="1"/>
  <c r="BM13" i="11" s="1"/>
  <c r="BN13" i="11" s="1"/>
  <c r="BG15" i="11"/>
  <c r="BI15" i="11" s="1"/>
  <c r="BJ15" i="11" s="1"/>
  <c r="BK15" i="11" s="1"/>
  <c r="BM15" i="11" s="1"/>
  <c r="BN15" i="11" s="1"/>
  <c r="BG17" i="11"/>
  <c r="BI17" i="11" s="1"/>
  <c r="BJ17" i="11" s="1"/>
  <c r="BK17" i="11" s="1"/>
  <c r="BM17" i="11" s="1"/>
  <c r="BN17" i="11" s="1"/>
  <c r="AW25" i="11" l="1"/>
  <c r="AG25" i="11"/>
  <c r="Y25" i="1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607" i="10" l="1"/>
  <c r="E607" i="10"/>
  <c r="F607" i="10"/>
  <c r="G607" i="10"/>
  <c r="H607" i="10"/>
  <c r="I607" i="10"/>
  <c r="J607" i="10"/>
  <c r="K607" i="10"/>
  <c r="L607" i="10"/>
  <c r="M34" i="1" s="1"/>
  <c r="M607" i="10"/>
  <c r="N607" i="10"/>
  <c r="O607" i="10"/>
  <c r="P607" i="10"/>
  <c r="Q607" i="10"/>
  <c r="R607" i="10"/>
  <c r="D569" i="10"/>
  <c r="E569" i="10"/>
  <c r="F569" i="10"/>
  <c r="G569" i="10"/>
  <c r="H569" i="10"/>
  <c r="I569" i="10"/>
  <c r="J569" i="10"/>
  <c r="K569" i="10"/>
  <c r="L569" i="10"/>
  <c r="M569" i="10"/>
  <c r="N569" i="10"/>
  <c r="O569" i="10"/>
  <c r="P569" i="10"/>
  <c r="Q569" i="10"/>
  <c r="R569" i="10"/>
  <c r="D524" i="10"/>
  <c r="E524" i="10"/>
  <c r="F524" i="10"/>
  <c r="G524" i="10"/>
  <c r="H524" i="10"/>
  <c r="I524" i="10"/>
  <c r="J524" i="10"/>
  <c r="K524" i="10"/>
  <c r="L524" i="10"/>
  <c r="M524" i="10"/>
  <c r="N524" i="10"/>
  <c r="O524" i="10"/>
  <c r="P524" i="10"/>
  <c r="Q524" i="10"/>
  <c r="R524" i="10"/>
  <c r="D413" i="10"/>
  <c r="E413" i="10"/>
  <c r="F413" i="10"/>
  <c r="G413" i="10"/>
  <c r="H413" i="10"/>
  <c r="I413" i="10"/>
  <c r="J413" i="10"/>
  <c r="K413" i="10"/>
  <c r="L413" i="10"/>
  <c r="M413" i="10"/>
  <c r="N413" i="10"/>
  <c r="O413" i="10"/>
  <c r="P413" i="10"/>
  <c r="Q413" i="10"/>
  <c r="R413" i="10"/>
  <c r="D367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Q367" i="10"/>
  <c r="R367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229" i="7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I2141" i="7"/>
  <c r="J2141" i="7" s="1"/>
  <c r="I2140" i="7"/>
  <c r="J2140" i="7" s="1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K2027" i="7"/>
  <c r="M19" i="3" s="1"/>
  <c r="N19" i="3" s="1"/>
  <c r="I2026" i="7"/>
  <c r="J2026" i="7" s="1"/>
  <c r="I1999" i="7"/>
  <c r="J1999" i="7" s="1"/>
  <c r="I1984" i="7"/>
  <c r="J1984" i="7" s="1"/>
  <c r="I1970" i="7"/>
  <c r="J1970" i="7" s="1"/>
  <c r="I1951" i="7"/>
  <c r="J1951" i="7" s="1"/>
  <c r="I1928" i="7"/>
  <c r="J1928" i="7" s="1"/>
  <c r="I1905" i="7"/>
  <c r="J1905" i="7" s="1"/>
  <c r="I1886" i="7"/>
  <c r="J1886" i="7" s="1"/>
  <c r="I2025" i="7"/>
  <c r="J2025" i="7" s="1"/>
  <c r="I1982" i="7"/>
  <c r="J1982" i="7" s="1"/>
  <c r="I2024" i="7"/>
  <c r="J2024" i="7" s="1"/>
  <c r="I1904" i="7"/>
  <c r="J190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08" i="7"/>
  <c r="J2008" i="7" s="1"/>
  <c r="I2007" i="7"/>
  <c r="J2007" i="7" s="1"/>
  <c r="I2006" i="7"/>
  <c r="J2006" i="7" s="1"/>
  <c r="I2015" i="7"/>
  <c r="J2015" i="7" s="1"/>
  <c r="I2014" i="7"/>
  <c r="J2014" i="7" s="1"/>
  <c r="I2013" i="7"/>
  <c r="J2013" i="7" s="1"/>
  <c r="I2012" i="7"/>
  <c r="J2012" i="7" s="1"/>
  <c r="I2005" i="7"/>
  <c r="J2005" i="7" s="1"/>
  <c r="I2004" i="7"/>
  <c r="J2004" i="7" s="1"/>
  <c r="I2001" i="7"/>
  <c r="J2001" i="7" s="1"/>
  <c r="I1993" i="7"/>
  <c r="J1993" i="7" s="1"/>
  <c r="I1990" i="7"/>
  <c r="J1990" i="7" s="1"/>
  <c r="I1989" i="7"/>
  <c r="J1989" i="7" s="1"/>
  <c r="I1988" i="7"/>
  <c r="J1988" i="7" s="1"/>
  <c r="I1981" i="7"/>
  <c r="J1981" i="7" s="1"/>
  <c r="I1980" i="7"/>
  <c r="J1980" i="7" s="1"/>
  <c r="I1978" i="7"/>
  <c r="J1978" i="7" s="1"/>
  <c r="I1969" i="7"/>
  <c r="J1969" i="7" s="1"/>
  <c r="I1968" i="7"/>
  <c r="J1968" i="7" s="1"/>
  <c r="I1967" i="7"/>
  <c r="J1967" i="7" s="1"/>
  <c r="I2011" i="7"/>
  <c r="J2011" i="7" s="1"/>
  <c r="I1903" i="7"/>
  <c r="J1903" i="7" s="1"/>
  <c r="I2010" i="7"/>
  <c r="J2010" i="7" s="1"/>
  <c r="I2009" i="7"/>
  <c r="J2009" i="7" s="1"/>
  <c r="I2003" i="7"/>
  <c r="J2003" i="7" s="1"/>
  <c r="I2002" i="7"/>
  <c r="J2002" i="7" s="1"/>
  <c r="I2000" i="7"/>
  <c r="J2000" i="7" s="1"/>
  <c r="I1997" i="7"/>
  <c r="J1997" i="7" s="1"/>
  <c r="I1998" i="7"/>
  <c r="J1998" i="7" s="1"/>
  <c r="I1996" i="7"/>
  <c r="J1996" i="7" s="1"/>
  <c r="I1995" i="7"/>
  <c r="J1995" i="7" s="1"/>
  <c r="I1992" i="7"/>
  <c r="J1992" i="7" s="1"/>
  <c r="I1994" i="7"/>
  <c r="J1994" i="7" s="1"/>
  <c r="I1991" i="7"/>
  <c r="J1991" i="7" s="1"/>
  <c r="I1987" i="7"/>
  <c r="J1987" i="7" s="1"/>
  <c r="I1986" i="7"/>
  <c r="J1986" i="7" s="1"/>
  <c r="I1985" i="7"/>
  <c r="J1985" i="7" s="1"/>
  <c r="I1983" i="7"/>
  <c r="J1983" i="7" s="1"/>
  <c r="I1979" i="7"/>
  <c r="J1979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66" i="7"/>
  <c r="J1966" i="7" s="1"/>
  <c r="I1885" i="7"/>
  <c r="J1885" i="7" s="1"/>
  <c r="I1965" i="7"/>
  <c r="J1965" i="7" s="1"/>
  <c r="I1964" i="7"/>
  <c r="J1964" i="7" s="1"/>
  <c r="I1956" i="7"/>
  <c r="J1956" i="7" s="1"/>
  <c r="I1963" i="7"/>
  <c r="J1963" i="7" s="1"/>
  <c r="I1962" i="7"/>
  <c r="J1962" i="7" s="1"/>
  <c r="I1960" i="7"/>
  <c r="J1960" i="7" s="1"/>
  <c r="I1959" i="7"/>
  <c r="J1959" i="7" s="1"/>
  <c r="I1961" i="7"/>
  <c r="J1961" i="7" s="1"/>
  <c r="I1958" i="7"/>
  <c r="J1958" i="7" s="1"/>
  <c r="I1957" i="7"/>
  <c r="J1957" i="7" s="1"/>
  <c r="I1955" i="7"/>
  <c r="J1955" i="7" s="1"/>
  <c r="I1954" i="7"/>
  <c r="J1954" i="7" s="1"/>
  <c r="I1953" i="7"/>
  <c r="J1953" i="7" s="1"/>
  <c r="I1952" i="7"/>
  <c r="J1952" i="7" s="1"/>
  <c r="I1950" i="7"/>
  <c r="J1950" i="7" s="1"/>
  <c r="I1949" i="7"/>
  <c r="J1949" i="7" s="1"/>
  <c r="I1948" i="7"/>
  <c r="J1948" i="7" s="1"/>
  <c r="I1947" i="7"/>
  <c r="J1947" i="7" s="1"/>
  <c r="I1920" i="7"/>
  <c r="J1920" i="7" s="1"/>
  <c r="I1944" i="7"/>
  <c r="J1944" i="7" s="1"/>
  <c r="I1943" i="7"/>
  <c r="J1943" i="7" s="1"/>
  <c r="I1942" i="7"/>
  <c r="J1942" i="7" s="1"/>
  <c r="I1941" i="7"/>
  <c r="J1941" i="7" s="1"/>
  <c r="I1940" i="7"/>
  <c r="J1940" i="7" s="1"/>
  <c r="I1939" i="7"/>
  <c r="J1939" i="7" s="1"/>
  <c r="I1938" i="7"/>
  <c r="J1938" i="7" s="1"/>
  <c r="I1937" i="7"/>
  <c r="J1937" i="7" s="1"/>
  <c r="I1936" i="7"/>
  <c r="J1936" i="7" s="1"/>
  <c r="I1927" i="7"/>
  <c r="J1927" i="7" s="1"/>
  <c r="I1926" i="7"/>
  <c r="J1926" i="7" s="1"/>
  <c r="I1925" i="7"/>
  <c r="J1925" i="7" s="1"/>
  <c r="I1924" i="7"/>
  <c r="J1924" i="7" s="1"/>
  <c r="I1919" i="7"/>
  <c r="J1919" i="7" s="1"/>
  <c r="I1915" i="7"/>
  <c r="J1915" i="7" s="1"/>
  <c r="I1914" i="7"/>
  <c r="J1914" i="7" s="1"/>
  <c r="I1946" i="7"/>
  <c r="J1946" i="7" s="1"/>
  <c r="I1935" i="7"/>
  <c r="J1935" i="7" s="1"/>
  <c r="I1934" i="7"/>
  <c r="J1934" i="7" s="1"/>
  <c r="I1933" i="7"/>
  <c r="J1933" i="7" s="1"/>
  <c r="I1932" i="7"/>
  <c r="J1932" i="7" s="1"/>
  <c r="I1945" i="7"/>
  <c r="J1945" i="7" s="1"/>
  <c r="I1931" i="7"/>
  <c r="J1931" i="7" s="1"/>
  <c r="I1930" i="7"/>
  <c r="J1930" i="7" s="1"/>
  <c r="I1929" i="7"/>
  <c r="J1929" i="7" s="1"/>
  <c r="I1923" i="7"/>
  <c r="J1923" i="7" s="1"/>
  <c r="I1922" i="7"/>
  <c r="J1922" i="7" s="1"/>
  <c r="I1921" i="7"/>
  <c r="J1921" i="7" s="1"/>
  <c r="I1918" i="7"/>
  <c r="J1918" i="7" s="1"/>
  <c r="I1917" i="7"/>
  <c r="J1917" i="7" s="1"/>
  <c r="I1916" i="7"/>
  <c r="J1916" i="7" s="1"/>
  <c r="I1913" i="7"/>
  <c r="J1913" i="7" s="1"/>
  <c r="I1912" i="7"/>
  <c r="J1912" i="7" s="1"/>
  <c r="I1911" i="7"/>
  <c r="J1911" i="7" s="1"/>
  <c r="I1910" i="7"/>
  <c r="J1910" i="7" s="1"/>
  <c r="I1902" i="7"/>
  <c r="J1902" i="7" s="1"/>
  <c r="I1909" i="7"/>
  <c r="J1909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80" i="7"/>
  <c r="J1880" i="7" s="1"/>
  <c r="I1893" i="7"/>
  <c r="J1893" i="7" s="1"/>
  <c r="I1892" i="7"/>
  <c r="J1892" i="7" s="1"/>
  <c r="I1891" i="7"/>
  <c r="J1891" i="7" s="1"/>
  <c r="I1908" i="7"/>
  <c r="J1908" i="7" s="1"/>
  <c r="I1907" i="7"/>
  <c r="J1907" i="7" s="1"/>
  <c r="I1890" i="7"/>
  <c r="J1890" i="7" s="1"/>
  <c r="I1889" i="7"/>
  <c r="J1889" i="7" s="1"/>
  <c r="I1906" i="7"/>
  <c r="J1906" i="7" s="1"/>
  <c r="I1888" i="7"/>
  <c r="J1888" i="7" s="1"/>
  <c r="I1887" i="7"/>
  <c r="J1887" i="7" s="1"/>
  <c r="I1884" i="7"/>
  <c r="J1884" i="7" s="1"/>
  <c r="I1883" i="7"/>
  <c r="J1883" i="7" s="1"/>
  <c r="I1894" i="7"/>
  <c r="J1894" i="7" s="1"/>
  <c r="I1882" i="7"/>
  <c r="J1882" i="7" s="1"/>
  <c r="I1881" i="7"/>
  <c r="J1881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I1838" i="7"/>
  <c r="J1838" i="7" s="1"/>
  <c r="I1837" i="7"/>
  <c r="J1837" i="7" s="1"/>
  <c r="K1835" i="7"/>
  <c r="M18" i="3" s="1"/>
  <c r="N18" i="3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I1737" i="7"/>
  <c r="J1737" i="7" s="1"/>
  <c r="I1736" i="7"/>
  <c r="J1736" i="7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K1520" i="7"/>
  <c r="M16" i="3" s="1"/>
  <c r="N16" i="3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K1332" i="7"/>
  <c r="M15" i="3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K1099" i="7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K881" i="7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M761" i="6"/>
  <c r="M746" i="6"/>
  <c r="M745" i="6"/>
  <c r="M741" i="6"/>
  <c r="M608" i="6"/>
  <c r="M606" i="6"/>
  <c r="M575" i="6"/>
  <c r="J573" i="6"/>
  <c r="M421" i="6"/>
  <c r="M425" i="6"/>
  <c r="J499" i="6"/>
  <c r="Q15" i="3" s="1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M782" i="6" l="1"/>
  <c r="Q16" i="3"/>
  <c r="M499" i="6"/>
  <c r="J2229" i="7"/>
  <c r="I2229" i="7"/>
  <c r="J203" i="6"/>
  <c r="Q11" i="3" s="1"/>
  <c r="D12" i="1" s="1"/>
  <c r="D14" i="1" s="1"/>
  <c r="I2027" i="7"/>
  <c r="J1839" i="7"/>
  <c r="J2027" i="7" s="1"/>
  <c r="P19" i="3" s="1"/>
  <c r="J1835" i="7"/>
  <c r="P18" i="3" s="1"/>
  <c r="I1835" i="7"/>
  <c r="O18" i="3" s="1"/>
  <c r="K7" i="1" s="1"/>
  <c r="K6" i="1" s="1"/>
  <c r="J1520" i="7"/>
  <c r="P16" i="3" s="1"/>
  <c r="I1520" i="7"/>
  <c r="O16" i="3" s="1"/>
  <c r="J1332" i="7"/>
  <c r="P15" i="3" s="1"/>
  <c r="I1332" i="7"/>
  <c r="O15" i="3" s="1"/>
  <c r="J1099" i="7"/>
  <c r="I1099" i="7"/>
  <c r="J881" i="7"/>
  <c r="I881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H12" i="1"/>
  <c r="M203" i="6"/>
  <c r="M138" i="6"/>
  <c r="L741" i="6"/>
  <c r="L745" i="6"/>
  <c r="L746" i="6"/>
  <c r="L761" i="6"/>
  <c r="L575" i="6"/>
  <c r="L606" i="6"/>
  <c r="L608" i="6"/>
  <c r="K573" i="6"/>
  <c r="L425" i="6"/>
  <c r="L421" i="6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262" i="2"/>
  <c r="G262" i="2"/>
  <c r="H235" i="2"/>
  <c r="G235" i="2"/>
  <c r="H211" i="2"/>
  <c r="G211" i="2"/>
  <c r="H192" i="2"/>
  <c r="G192" i="2"/>
  <c r="H174" i="2"/>
  <c r="G174" i="2"/>
  <c r="H156" i="2"/>
  <c r="G156" i="2"/>
  <c r="G131" i="2"/>
  <c r="H131" i="2"/>
  <c r="H117" i="2"/>
  <c r="G117" i="2"/>
  <c r="H86" i="2"/>
  <c r="G86" i="2"/>
  <c r="H66" i="2"/>
  <c r="G66" i="2"/>
  <c r="G43" i="2"/>
  <c r="H43" i="2"/>
  <c r="H20" i="2"/>
  <c r="G20" i="2"/>
  <c r="L782" i="6" l="1"/>
  <c r="O19" i="3"/>
  <c r="L573" i="6"/>
  <c r="R16" i="3"/>
  <c r="T16" i="3" s="1"/>
  <c r="K499" i="6"/>
  <c r="R15" i="3" s="1"/>
  <c r="L499" i="6"/>
  <c r="D6" i="1"/>
  <c r="D16" i="1"/>
  <c r="C7" i="1"/>
  <c r="C6" i="1" s="1"/>
  <c r="C17" i="1" s="1"/>
  <c r="L203" i="6"/>
  <c r="K203" i="6"/>
  <c r="R11" i="3" s="1"/>
  <c r="T11" i="3" s="1"/>
  <c r="M77" i="6"/>
  <c r="L138" i="6"/>
  <c r="K138" i="6"/>
  <c r="R10" i="3" s="1"/>
  <c r="J77" i="6"/>
  <c r="L76" i="6"/>
  <c r="L7" i="1" l="1"/>
  <c r="L6" i="1" s="1"/>
  <c r="D17" i="1"/>
  <c r="L77" i="6"/>
  <c r="K77" i="6"/>
  <c r="C569" i="10" l="1"/>
  <c r="J786" i="6" l="1"/>
  <c r="K786" i="6" s="1"/>
  <c r="L786" i="6" s="1"/>
  <c r="M786" i="6"/>
  <c r="L821" i="6"/>
  <c r="M821" i="6"/>
  <c r="J851" i="6"/>
  <c r="K851" i="6" s="1"/>
  <c r="L851" i="6" s="1"/>
  <c r="M851" i="6"/>
  <c r="J861" i="6"/>
  <c r="K861" i="6" s="1"/>
  <c r="L861" i="6" s="1"/>
  <c r="M861" i="6"/>
  <c r="J787" i="6"/>
  <c r="K787" i="6" s="1"/>
  <c r="L787" i="6" s="1"/>
  <c r="M787" i="6"/>
  <c r="J816" i="6"/>
  <c r="J817" i="6"/>
  <c r="K817" i="6" s="1"/>
  <c r="L817" i="6" s="1"/>
  <c r="M817" i="6"/>
  <c r="J826" i="6"/>
  <c r="K826" i="6" s="1"/>
  <c r="L826" i="6" s="1"/>
  <c r="M826" i="6"/>
  <c r="J822" i="6"/>
  <c r="J828" i="6"/>
  <c r="K828" i="6" s="1"/>
  <c r="L828" i="6" s="1"/>
  <c r="M828" i="6"/>
  <c r="J830" i="6"/>
  <c r="K830" i="6" s="1"/>
  <c r="L830" i="6" s="1"/>
  <c r="M830" i="6"/>
  <c r="J863" i="6"/>
  <c r="M863" i="6"/>
  <c r="J864" i="6"/>
  <c r="K864" i="6" s="1"/>
  <c r="L864" i="6" s="1"/>
  <c r="M864" i="6"/>
  <c r="K822" i="6" l="1"/>
  <c r="L822" i="6"/>
  <c r="K816" i="6"/>
  <c r="L816" i="6"/>
  <c r="K863" i="6"/>
  <c r="L863" i="6" s="1"/>
  <c r="Q19" i="3"/>
  <c r="R19" i="3" l="1"/>
  <c r="T19" i="3" s="1"/>
  <c r="K698" i="6" l="1"/>
  <c r="R18" i="3" s="1"/>
  <c r="T18" i="3" s="1"/>
  <c r="J698" i="6"/>
  <c r="Q18" i="3" s="1"/>
  <c r="K12" i="1" s="1"/>
  <c r="K14" i="1" s="1"/>
  <c r="K16" i="1" s="1"/>
  <c r="K17" i="1" s="1"/>
  <c r="H698" i="6"/>
  <c r="A1" i="14" l="1"/>
  <c r="A2" i="14"/>
  <c r="I11" i="1" l="1"/>
  <c r="I39" i="1" l="1"/>
  <c r="I44" i="1"/>
  <c r="I45" i="1"/>
  <c r="I50" i="1" s="1"/>
  <c r="N43" i="1" l="1"/>
  <c r="H415" i="6" l="1"/>
  <c r="M13" i="3" l="1"/>
  <c r="Q114" i="10" l="1"/>
  <c r="Q61" i="10"/>
  <c r="Q609" i="10" l="1"/>
  <c r="M698" i="6"/>
  <c r="M415" i="6"/>
  <c r="J12" i="3" l="1"/>
  <c r="K415" i="6" l="1"/>
  <c r="R14" i="3" s="1"/>
  <c r="J415" i="6"/>
  <c r="Q14" i="3" s="1"/>
  <c r="G12" i="1" s="1"/>
  <c r="G14" i="1" s="1"/>
  <c r="G16" i="1" s="1"/>
  <c r="O114" i="10" l="1"/>
  <c r="P114" i="10"/>
  <c r="M36" i="1" l="1"/>
  <c r="M35" i="1"/>
  <c r="M33" i="1"/>
  <c r="M32" i="1"/>
  <c r="M31" i="1"/>
  <c r="M30" i="1"/>
  <c r="M29" i="1"/>
  <c r="M28" i="1"/>
  <c r="M27" i="1"/>
  <c r="M26" i="1"/>
  <c r="C607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524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413" i="10"/>
  <c r="I25" i="1" s="1"/>
  <c r="H36" i="1"/>
  <c r="H35" i="1"/>
  <c r="H34" i="1"/>
  <c r="H33" i="1"/>
  <c r="H32" i="1"/>
  <c r="H31" i="1"/>
  <c r="H30" i="1"/>
  <c r="H29" i="1"/>
  <c r="H28" i="1"/>
  <c r="H27" i="1"/>
  <c r="H26" i="1"/>
  <c r="C367" i="10"/>
  <c r="H25" i="1" s="1"/>
  <c r="G36" i="1"/>
  <c r="G35" i="1"/>
  <c r="G34" i="1"/>
  <c r="G33" i="1"/>
  <c r="G32" i="1"/>
  <c r="G31" i="1"/>
  <c r="G30" i="1"/>
  <c r="G29" i="1"/>
  <c r="G28" i="1"/>
  <c r="G27" i="1"/>
  <c r="G26" i="1"/>
  <c r="G25" i="1"/>
  <c r="F36" i="1"/>
  <c r="F35" i="1"/>
  <c r="F34" i="1"/>
  <c r="F33" i="1"/>
  <c r="F32" i="1"/>
  <c r="F31" i="1"/>
  <c r="F30" i="1"/>
  <c r="F29" i="1"/>
  <c r="F28" i="1"/>
  <c r="F27" i="1"/>
  <c r="F26" i="1"/>
  <c r="C266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609" i="10" s="1"/>
  <c r="O61" i="10"/>
  <c r="O609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24" i="1" l="1"/>
  <c r="C24" i="1"/>
  <c r="C38" i="1" s="1"/>
  <c r="D609" i="10"/>
  <c r="L609" i="10"/>
  <c r="J609" i="10"/>
  <c r="F609" i="10"/>
  <c r="E609" i="10"/>
  <c r="H609" i="10"/>
  <c r="I609" i="10"/>
  <c r="N609" i="10"/>
  <c r="K609" i="10"/>
  <c r="G609" i="10"/>
  <c r="R609" i="10"/>
  <c r="M609" i="10"/>
  <c r="I24" i="1"/>
  <c r="O13" i="3"/>
  <c r="F7" i="1" s="1"/>
  <c r="T15" i="3"/>
  <c r="P13" i="3"/>
  <c r="C609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H7" i="1"/>
  <c r="I7" i="1"/>
  <c r="I6" i="1" s="1"/>
  <c r="P20" i="3"/>
  <c r="O20" i="3"/>
  <c r="M7" i="1" s="1"/>
  <c r="H865" i="6"/>
  <c r="H634" i="6"/>
  <c r="H340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H265" i="2" l="1"/>
  <c r="P610" i="10"/>
  <c r="J634" i="6"/>
  <c r="Q17" i="3" s="1"/>
  <c r="L12" i="1"/>
  <c r="L14" i="1" s="1"/>
  <c r="L16" i="1" s="1"/>
  <c r="J865" i="6"/>
  <c r="Q20" i="3" s="1"/>
  <c r="M12" i="1" s="1"/>
  <c r="M14" i="1" s="1"/>
  <c r="M16" i="1" s="1"/>
  <c r="J340" i="6"/>
  <c r="Q13" i="3" s="1"/>
  <c r="I12" i="1"/>
  <c r="I14" i="1" s="1"/>
  <c r="I16" i="1" s="1"/>
  <c r="I17" i="1" s="1"/>
  <c r="J252" i="6"/>
  <c r="Q12" i="3" s="1"/>
  <c r="E12" i="1" s="1"/>
  <c r="E14" i="1" s="1"/>
  <c r="E16" i="1" s="1"/>
  <c r="J12" i="1" l="1"/>
  <c r="J14" i="1" s="1"/>
  <c r="J16" i="1" s="1"/>
  <c r="L698" i="6"/>
  <c r="L415" i="6"/>
  <c r="M865" i="6"/>
  <c r="M252" i="6"/>
  <c r="M634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L634" i="6"/>
  <c r="L865" i="6"/>
  <c r="K634" i="6"/>
  <c r="R17" i="3" s="1"/>
  <c r="K865" i="6"/>
  <c r="R20" i="3" s="1"/>
  <c r="K340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340" i="6"/>
  <c r="M340" i="6"/>
  <c r="K34" i="15"/>
  <c r="F24" i="15"/>
  <c r="M16" i="15"/>
  <c r="F55" i="14"/>
  <c r="F54" i="14"/>
  <c r="F48" i="14"/>
  <c r="F12" i="1"/>
  <c r="F12" i="15"/>
  <c r="F16" i="15" s="1"/>
  <c r="N11" i="1"/>
  <c r="F10" i="14" s="1"/>
  <c r="E867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l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l="1"/>
  <c r="F11" i="1"/>
  <c r="I109" i="2" l="1"/>
  <c r="I110" i="2" l="1"/>
  <c r="I111" i="2" l="1"/>
  <c r="I112" i="2" l="1"/>
  <c r="I113" i="2" s="1"/>
  <c r="I114" i="2" s="1"/>
  <c r="I115" i="2" s="1"/>
  <c r="I116" i="2" s="1"/>
  <c r="I117" i="2" s="1"/>
  <c r="I118" i="2" l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l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5" i="2" l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174" i="2"/>
  <c r="I212" i="2" l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6" i="2" l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17" i="1" l="1"/>
  <c r="H266" i="2" l="1"/>
  <c r="H264" i="2" l="1"/>
  <c r="T20" i="3" l="1"/>
  <c r="H14" i="1" l="1"/>
  <c r="H16" i="1" s="1"/>
  <c r="H17" i="1" s="1"/>
  <c r="G24" i="1" l="1"/>
  <c r="T13" i="3" l="1"/>
  <c r="E24" i="1" l="1"/>
  <c r="E38" i="1" s="1"/>
  <c r="M6" i="1" l="1"/>
  <c r="M17" i="1" s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268" i="2" l="1"/>
  <c r="R9" i="3" l="1"/>
  <c r="R21" i="3" s="1"/>
  <c r="Q9" i="3"/>
  <c r="Q21" i="3" s="1"/>
  <c r="T9" i="3" l="1"/>
  <c r="B12" i="1"/>
  <c r="N12" i="1" s="1"/>
  <c r="B14" i="1" l="1"/>
  <c r="B16" i="1" s="1"/>
  <c r="B17" i="1" s="1"/>
  <c r="B51" i="1" s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K51" i="1" l="1"/>
  <c r="H77" i="6" l="1"/>
  <c r="I1542" i="7" l="1"/>
  <c r="J1542" i="7" s="1"/>
  <c r="I1536" i="7"/>
  <c r="J1536" i="7" s="1"/>
  <c r="I1548" i="7"/>
  <c r="J1548" i="7" s="1"/>
  <c r="I1544" i="7"/>
  <c r="J1544" i="7" s="1"/>
  <c r="I1541" i="7"/>
  <c r="J1541" i="7" s="1"/>
  <c r="I1547" i="7" l="1"/>
  <c r="I1537" i="7"/>
  <c r="J1537" i="7" s="1"/>
  <c r="I1533" i="7"/>
  <c r="J1533" i="7" s="1"/>
  <c r="I1543" i="7"/>
  <c r="J1543" i="7" s="1"/>
  <c r="I1534" i="7"/>
  <c r="J1534" i="7" s="1"/>
  <c r="I1539" i="7"/>
  <c r="J1539" i="7" s="1"/>
  <c r="XFD1539" i="7" s="1"/>
  <c r="I1532" i="7"/>
  <c r="J1532" i="7" s="1"/>
  <c r="I1546" i="7"/>
  <c r="J1546" i="7" s="1"/>
  <c r="I1545" i="7"/>
  <c r="J1545" i="7" s="1"/>
  <c r="I1535" i="7"/>
  <c r="J1535" i="7" s="1"/>
  <c r="I1549" i="7" l="1"/>
  <c r="J1549" i="7" s="1"/>
  <c r="I1550" i="7"/>
  <c r="J1550" i="7" s="1"/>
  <c r="J1547" i="7"/>
  <c r="I1538" i="7"/>
  <c r="J1538" i="7" s="1"/>
  <c r="I1540" i="7"/>
  <c r="J1540" i="7" s="1"/>
  <c r="I1524" i="7" l="1"/>
  <c r="J1524" i="7" s="1"/>
  <c r="I1525" i="7"/>
  <c r="J1525" i="7" s="1"/>
  <c r="I1531" i="7"/>
  <c r="J1531" i="7" s="1"/>
  <c r="I1526" i="7"/>
  <c r="J1526" i="7" s="1"/>
  <c r="I1523" i="7"/>
  <c r="J1523" i="7" s="1"/>
  <c r="I1529" i="7"/>
  <c r="J1529" i="7" s="1"/>
  <c r="I1530" i="7" l="1"/>
  <c r="J1530" i="7" s="1"/>
  <c r="I1528" i="7"/>
  <c r="J1528" i="7" s="1"/>
  <c r="I1527" i="7"/>
  <c r="J1527" i="7" s="1"/>
  <c r="I1522" i="7" l="1"/>
  <c r="K1673" i="7"/>
  <c r="M17" i="3" l="1"/>
  <c r="E2231" i="7"/>
  <c r="J1522" i="7"/>
  <c r="J1673" i="7" s="1"/>
  <c r="P17" i="3" s="1"/>
  <c r="I1673" i="7"/>
  <c r="O17" i="3" s="1"/>
  <c r="O21" i="3" l="1"/>
  <c r="J7" i="1"/>
  <c r="T17" i="3"/>
  <c r="T21" i="3" s="1"/>
  <c r="P21" i="3"/>
  <c r="N17" i="3"/>
  <c r="N21" i="3" s="1"/>
  <c r="M21" i="3"/>
  <c r="J6" i="1" l="1"/>
  <c r="N7" i="1"/>
  <c r="H7" i="14" s="1"/>
  <c r="H16" i="14" s="1"/>
  <c r="H37" i="14" s="1"/>
  <c r="H44" i="14" s="1"/>
  <c r="M24" i="15" s="1"/>
  <c r="M27" i="15" s="1"/>
  <c r="M29" i="15" s="1"/>
  <c r="J17" i="1" l="1"/>
  <c r="J51" i="1" s="1"/>
  <c r="N6" i="1"/>
  <c r="N17" i="1" s="1"/>
  <c r="N51" i="1" l="1"/>
  <c r="O51" i="1" s="1"/>
  <c r="O17" i="1"/>
</calcChain>
</file>

<file path=xl/sharedStrings.xml><?xml version="1.0" encoding="utf-8"?>
<sst xmlns="http://schemas.openxmlformats.org/spreadsheetml/2006/main" count="15381" uniqueCount="7607">
  <si>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</si>
  <si>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</si>
  <si>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</si>
  <si>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</si>
  <si>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</si>
  <si>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</si>
  <si>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</si>
  <si>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</si>
  <si>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</si>
  <si>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</si>
  <si>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</si>
  <si>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</si>
  <si>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</si>
  <si>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</si>
  <si>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</si>
  <si>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</si>
  <si>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</si>
  <si>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</si>
  <si>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</si>
  <si>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</si>
  <si>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</si>
  <si>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</si>
  <si>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</si>
  <si>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</si>
  <si>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</si>
  <si>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</si>
  <si>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</si>
  <si>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</si>
  <si>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</si>
  <si>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</si>
  <si>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</si>
  <si>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</si>
  <si>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</si>
  <si>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</si>
  <si>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</si>
  <si>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</si>
  <si>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</si>
  <si>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</si>
  <si>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</si>
  <si>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</si>
  <si>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</si>
  <si>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</si>
  <si>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</si>
  <si>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</si>
  <si>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</si>
  <si>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</si>
  <si>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</si>
  <si>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</si>
  <si>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</si>
  <si>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</si>
  <si>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</si>
  <si>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</si>
  <si>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</si>
  <si>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</si>
  <si>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</si>
  <si>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</si>
  <si>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</si>
  <si>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</si>
  <si>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</si>
  <si>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</si>
  <si>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</si>
  <si>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</si>
  <si>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</si>
  <si>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</si>
  <si>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</si>
  <si>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</si>
  <si>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</si>
  <si>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</si>
  <si>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</si>
  <si>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</si>
  <si>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</si>
  <si>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</si>
  <si>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</si>
  <si>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</si>
  <si>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</si>
  <si>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</si>
  <si>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</si>
  <si>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</si>
  <si>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</si>
  <si>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</si>
  <si>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</si>
  <si>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</si>
  <si>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</si>
  <si>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</si>
  <si>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</si>
  <si>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</si>
  <si>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</si>
  <si>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</si>
  <si>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</si>
  <si>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</si>
  <si>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</si>
  <si>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</si>
  <si>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</si>
  <si>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</si>
  <si>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</si>
  <si>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</si>
  <si>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</si>
  <si>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</si>
  <si>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</si>
  <si>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</si>
  <si>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</si>
  <si>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</si>
  <si>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</si>
  <si>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</si>
  <si>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</si>
  <si>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</si>
  <si>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</si>
  <si>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</si>
  <si>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</si>
  <si>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</si>
  <si>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</si>
  <si>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</si>
  <si>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</si>
  <si>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</si>
  <si>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</si>
  <si>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</si>
  <si>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</si>
  <si>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</si>
  <si>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</si>
  <si>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</si>
  <si>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</si>
  <si>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</si>
  <si>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</si>
  <si>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</si>
  <si>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</si>
  <si>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</si>
  <si>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</si>
  <si>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</si>
  <si>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</si>
  <si>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</si>
  <si>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</si>
  <si>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</si>
  <si>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</si>
  <si>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</si>
  <si>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</si>
  <si>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</si>
  <si>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</si>
  <si>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</si>
  <si>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</si>
  <si>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</si>
  <si>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</si>
  <si>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</si>
  <si>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</si>
  <si>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</si>
  <si>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</si>
  <si>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</si>
  <si>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</si>
  <si>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</si>
  <si>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</si>
  <si>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</si>
  <si>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</si>
  <si>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</si>
  <si>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</si>
  <si>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</si>
  <si>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</si>
  <si>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</si>
  <si>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</si>
  <si>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</si>
  <si>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</si>
  <si>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</si>
  <si>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</si>
  <si>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</si>
  <si>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</si>
  <si>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</si>
  <si>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</si>
  <si>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</si>
  <si>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</si>
  <si>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</si>
  <si>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</si>
  <si>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</si>
  <si>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</si>
  <si>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</si>
  <si>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</si>
  <si>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</si>
  <si>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</si>
  <si>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</si>
  <si>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</si>
  <si>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</si>
  <si>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</si>
  <si>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</si>
  <si>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</si>
  <si>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</si>
  <si>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</si>
  <si>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</si>
  <si>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</si>
  <si>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</si>
  <si>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</si>
  <si>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</si>
  <si>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</si>
  <si>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</si>
  <si>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</si>
  <si>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</si>
  <si>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</si>
  <si>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</si>
  <si>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</si>
  <si>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</si>
  <si>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</si>
  <si>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</si>
  <si>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</si>
  <si>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</si>
  <si>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</si>
  <si>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</si>
  <si>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</si>
  <si>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</si>
  <si>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</si>
  <si>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</si>
  <si>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</si>
  <si>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</si>
  <si>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</si>
  <si>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</si>
  <si>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</si>
  <si>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</si>
  <si>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</si>
  <si>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</si>
  <si>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</si>
  <si>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</si>
  <si>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</si>
  <si>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</si>
  <si>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</si>
  <si>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</si>
  <si>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</si>
  <si>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</si>
  <si>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</si>
  <si>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</si>
  <si>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</si>
  <si>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</si>
  <si>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</si>
  <si>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</si>
  <si>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</si>
  <si>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</si>
  <si>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</si>
  <si>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</si>
  <si>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</si>
  <si>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</si>
  <si>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</si>
  <si>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</si>
  <si>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</si>
  <si>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</si>
  <si>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</si>
  <si>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</si>
  <si>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</si>
  <si>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</si>
  <si>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</si>
  <si>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</si>
  <si>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</si>
  <si>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</si>
  <si>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</si>
  <si>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</si>
  <si>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</si>
  <si>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</si>
  <si>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</si>
  <si>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</si>
  <si>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</si>
  <si>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</si>
  <si>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</si>
  <si>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</si>
  <si>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</si>
  <si>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</si>
  <si>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</si>
  <si>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</si>
  <si>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</si>
  <si>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</si>
  <si>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</si>
  <si>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</si>
  <si>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</si>
  <si>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</si>
  <si>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</si>
  <si>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</si>
  <si>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</si>
  <si>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</si>
  <si>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</si>
  <si>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</si>
  <si>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</si>
  <si>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</si>
  <si>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</si>
  <si>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</si>
  <si>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</si>
  <si>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</si>
  <si>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</si>
  <si>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</si>
  <si>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</si>
  <si>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</si>
  <si>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</si>
  <si>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</si>
  <si>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</si>
  <si>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</si>
  <si>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</si>
  <si>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</si>
  <si>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</si>
  <si>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</si>
  <si>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</si>
  <si>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</si>
  <si>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</si>
  <si>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</si>
  <si>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</si>
  <si>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</si>
  <si>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</si>
  <si>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</si>
  <si>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</si>
  <si>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</si>
  <si>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</si>
  <si>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</si>
  <si>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</si>
  <si>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</si>
  <si>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</si>
  <si>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</si>
  <si>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</si>
  <si>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</si>
  <si>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</si>
  <si>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</si>
  <si>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</si>
  <si>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</si>
  <si>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</si>
  <si>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</si>
  <si>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</si>
  <si>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</si>
  <si>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</si>
  <si>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</si>
  <si>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</si>
  <si>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</si>
  <si>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</si>
  <si>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</si>
  <si>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</si>
  <si>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</si>
  <si>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</si>
  <si>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</si>
  <si>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</si>
  <si>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</si>
  <si>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</si>
  <si>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</si>
  <si>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</si>
  <si>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</si>
  <si>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</si>
  <si>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</si>
  <si>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</si>
  <si>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</si>
  <si>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</si>
  <si>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</si>
  <si>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</si>
  <si>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</si>
  <si>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</si>
  <si>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</si>
  <si>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</si>
  <si>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</si>
  <si>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</si>
  <si>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</si>
  <si>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</si>
  <si>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</si>
  <si>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</si>
  <si>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</si>
  <si>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</si>
  <si>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</si>
  <si>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</si>
  <si>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</si>
  <si>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</si>
  <si>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</si>
  <si>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</si>
  <si>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</si>
  <si>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</si>
  <si>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</si>
  <si>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</si>
  <si>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</si>
  <si>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</si>
  <si>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</si>
  <si>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</si>
  <si>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</si>
  <si>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</si>
  <si>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</si>
  <si>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</si>
  <si>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</si>
  <si>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</si>
  <si>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</si>
  <si>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</si>
  <si>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</si>
  <si>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</si>
  <si>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</si>
  <si>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</si>
  <si>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</si>
  <si>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</si>
  <si>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</si>
  <si>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</si>
  <si>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</si>
  <si>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</si>
  <si>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</si>
  <si>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</si>
  <si>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</si>
  <si>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</si>
  <si>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</si>
  <si>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</si>
  <si>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</si>
  <si>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</si>
  <si>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</si>
  <si>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</si>
  <si>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</si>
  <si>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</si>
  <si>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</si>
  <si>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JL. BABATAN PANTAI UTARA 9/64 RT.002 RW.001, DUKUH SUTOREJO, SURABAYA</t>
  </si>
  <si>
    <t>07.181.449.5-619.000</t>
  </si>
  <si>
    <t>TUNJANGAN KEHADIRAN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</si>
  <si>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</si>
  <si>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</si>
  <si>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</si>
  <si>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</si>
  <si>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</si>
  <si>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</si>
  <si>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</si>
  <si>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</si>
  <si>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</si>
  <si>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</si>
  <si>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</si>
  <si>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</si>
  <si>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</si>
  <si>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</si>
  <si>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</si>
  <si>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</si>
  <si>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</si>
  <si>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</si>
  <si>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</si>
  <si>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</si>
  <si>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</si>
  <si>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</si>
  <si>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</si>
  <si>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</si>
  <si>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</si>
  <si>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</si>
  <si>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</si>
  <si>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</si>
  <si>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</si>
  <si>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</si>
  <si>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</si>
  <si>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</si>
  <si>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</si>
  <si>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</si>
  <si>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</si>
  <si>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</si>
  <si>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</si>
  <si>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</si>
  <si>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</si>
  <si>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</si>
  <si>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</si>
  <si>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</si>
  <si>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</si>
  <si>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</si>
  <si>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</si>
  <si>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</si>
  <si>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</si>
  <si>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</si>
  <si>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</si>
  <si>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</si>
  <si>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</si>
  <si>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</si>
  <si>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</si>
  <si>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</si>
  <si>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</si>
  <si>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</si>
  <si>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</si>
  <si>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</si>
  <si>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</si>
  <si>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</si>
  <si>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</si>
  <si>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</si>
  <si>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</si>
  <si>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</si>
  <si>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</si>
  <si>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</si>
  <si>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</si>
  <si>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</si>
  <si>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</si>
  <si>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</si>
  <si>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</si>
  <si>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</si>
  <si>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</si>
  <si>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</si>
  <si>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</si>
  <si>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</si>
  <si>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</si>
  <si>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</si>
  <si>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</si>
  <si>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</si>
  <si>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</si>
  <si>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</si>
  <si>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</si>
  <si>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</si>
  <si>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</si>
  <si>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</si>
  <si>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</si>
  <si>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</si>
  <si>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</si>
  <si>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</si>
  <si>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</si>
  <si>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</si>
  <si>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</si>
  <si>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</si>
  <si>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</si>
  <si>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</si>
  <si>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</si>
  <si>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</si>
  <si>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</si>
  <si>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</si>
  <si>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</si>
  <si>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</si>
  <si>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</si>
  <si>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</si>
  <si>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</si>
  <si>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</si>
  <si>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</si>
  <si>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</si>
  <si>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</si>
  <si>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</si>
  <si>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</si>
  <si>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</si>
  <si>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</si>
  <si>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</si>
  <si>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</si>
  <si>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</si>
  <si>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</si>
  <si>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</si>
  <si>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</si>
  <si>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</si>
  <si>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</si>
  <si>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</si>
  <si>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</si>
  <si>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</si>
  <si>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</si>
  <si>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</si>
  <si>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</si>
  <si>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</si>
  <si>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</si>
  <si>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</si>
  <si>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</si>
  <si>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</si>
  <si>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</si>
  <si>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</si>
  <si>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</si>
  <si>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</si>
  <si>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</si>
  <si>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</si>
  <si>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</si>
  <si>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</si>
  <si>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</si>
  <si>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</si>
  <si>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</si>
  <si>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</si>
  <si>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</si>
  <si>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</si>
  <si>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</si>
  <si>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</si>
  <si>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</si>
  <si>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</si>
  <si>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</si>
  <si>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</si>
  <si>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</si>
  <si>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</si>
  <si>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</si>
  <si>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</si>
  <si>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</si>
  <si>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</si>
  <si>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</si>
  <si>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</si>
  <si>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</si>
  <si>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</si>
  <si>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</si>
  <si>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</si>
  <si>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</si>
  <si>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</si>
  <si>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</si>
  <si>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</si>
  <si>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</si>
  <si>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</si>
  <si>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</si>
  <si>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</si>
  <si>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</si>
  <si>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</si>
  <si>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</si>
  <si>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</si>
  <si>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</si>
  <si>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</si>
  <si>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</si>
  <si>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</si>
  <si>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</si>
  <si>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</si>
  <si>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</si>
  <si>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</si>
  <si>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</si>
  <si>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</si>
  <si>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</si>
  <si>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</si>
  <si>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</si>
  <si>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</si>
  <si>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</si>
  <si>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</si>
  <si>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</si>
  <si>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</si>
  <si>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</si>
  <si>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</si>
  <si>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</si>
  <si>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</si>
  <si>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</si>
  <si>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</si>
  <si>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</si>
  <si>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</si>
  <si>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</si>
  <si>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</si>
  <si>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</si>
  <si>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</si>
  <si>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</si>
  <si>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</si>
  <si>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</si>
  <si>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</si>
  <si>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</si>
  <si>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</si>
  <si>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</si>
  <si>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</si>
  <si>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</si>
  <si>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</si>
  <si>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</si>
  <si>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</si>
  <si>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</si>
  <si>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</si>
  <si>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</si>
  <si>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</si>
  <si>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</si>
  <si>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</si>
  <si>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</si>
  <si>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</si>
  <si>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</si>
  <si>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</si>
  <si>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</si>
  <si>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</si>
  <si>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</si>
  <si>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</si>
  <si>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</si>
  <si>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</si>
  <si>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</si>
  <si>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</si>
  <si>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</si>
  <si>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</si>
  <si>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</si>
  <si>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</si>
  <si>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</si>
  <si>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</si>
  <si>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</si>
  <si>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</si>
  <si>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</si>
  <si>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</si>
  <si>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</si>
  <si>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</si>
  <si>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</si>
  <si>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</si>
  <si>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</si>
  <si>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</si>
  <si>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</si>
  <si>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</si>
  <si>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</si>
  <si>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</si>
  <si>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</si>
  <si>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</si>
  <si>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</si>
  <si>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</si>
  <si>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</si>
  <si>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</si>
  <si>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</si>
  <si>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</si>
  <si>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</si>
  <si>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</si>
  <si>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</si>
  <si>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</si>
  <si>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</si>
  <si>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</si>
  <si>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</si>
  <si>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</si>
  <si>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</si>
  <si>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</si>
  <si>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</si>
  <si>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</si>
  <si>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</si>
  <si>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</si>
  <si>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</si>
  <si>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</si>
  <si>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</si>
  <si>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</si>
  <si>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</si>
  <si>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</si>
  <si>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</si>
  <si>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</si>
  <si>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</si>
  <si>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</si>
  <si>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</si>
  <si>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</si>
  <si>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</si>
  <si>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</si>
  <si>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</si>
  <si>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</si>
  <si>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</si>
  <si>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</si>
  <si>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</si>
  <si>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</si>
  <si>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</si>
  <si>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</si>
  <si>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</si>
  <si>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</si>
  <si>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</si>
  <si>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</si>
  <si>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</si>
  <si>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</si>
  <si>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</si>
  <si>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</si>
  <si>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</si>
  <si>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</si>
  <si>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</si>
  <si>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</si>
  <si>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</si>
  <si>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</si>
  <si>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</si>
  <si>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</si>
  <si>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</si>
  <si>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</si>
  <si>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</si>
  <si>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</si>
  <si>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</si>
  <si>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</si>
  <si>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</si>
  <si>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</si>
  <si>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</si>
  <si>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</si>
  <si>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</si>
  <si>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</si>
  <si>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</si>
  <si>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</si>
  <si>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</si>
  <si>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</si>
  <si>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</si>
  <si>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</si>
  <si>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</si>
  <si>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</si>
  <si>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</si>
  <si>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</si>
  <si>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</si>
  <si>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</si>
  <si>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</si>
  <si>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</si>
  <si>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</si>
  <si>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</si>
  <si>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</si>
  <si>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</si>
  <si>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</si>
  <si>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</si>
  <si>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</si>
  <si>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</si>
  <si>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</si>
  <si>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</si>
  <si>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</si>
  <si>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</si>
  <si>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</si>
  <si>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</si>
  <si>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</si>
  <si>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</si>
  <si>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</si>
  <si>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</si>
  <si>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</si>
  <si>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</si>
  <si>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</si>
  <si>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</si>
  <si>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</si>
  <si>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</si>
  <si>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</si>
  <si>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</si>
  <si>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</si>
  <si>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</si>
  <si>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</si>
  <si>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</si>
  <si>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</si>
  <si>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</si>
  <si>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</si>
  <si>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</si>
  <si>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</si>
  <si>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</si>
  <si>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</si>
  <si>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</si>
  <si>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</si>
  <si>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</si>
  <si>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</si>
  <si>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</si>
  <si>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</si>
  <si>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</si>
  <si>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</si>
  <si>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</si>
  <si>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</si>
  <si>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</si>
  <si>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</si>
  <si>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</si>
  <si>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</si>
  <si>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</si>
  <si>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</si>
  <si>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</si>
  <si>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</si>
  <si>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</si>
  <si>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</si>
  <si>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</si>
  <si>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</si>
  <si>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</si>
  <si>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</si>
  <si>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</si>
  <si>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</si>
  <si>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</si>
  <si>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</si>
  <si>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</si>
  <si>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</si>
  <si>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</si>
  <si>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</si>
  <si>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</si>
  <si>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</si>
  <si>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</si>
  <si>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</si>
  <si>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</si>
  <si>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</si>
  <si>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</si>
  <si>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</si>
  <si>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</si>
  <si>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</si>
  <si>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</si>
  <si>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</si>
  <si>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</si>
  <si>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</si>
  <si>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</si>
  <si>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</si>
  <si>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</si>
  <si>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</si>
  <si>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</si>
  <si>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</si>
  <si>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</si>
  <si>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</si>
  <si>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</si>
  <si>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</si>
  <si>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</si>
  <si>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</si>
  <si>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</si>
  <si>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</si>
  <si>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</si>
  <si>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</si>
  <si>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</si>
  <si>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</si>
  <si>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</si>
  <si>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</si>
  <si>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</si>
  <si>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</si>
  <si>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</si>
  <si>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</si>
  <si>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</si>
  <si>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</si>
  <si>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</si>
  <si>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</si>
  <si>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</si>
  <si>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</si>
  <si>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</si>
  <si>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</si>
  <si>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</si>
  <si>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</si>
  <si>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</si>
  <si>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</si>
  <si>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</si>
  <si>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</si>
  <si>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</si>
  <si>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</si>
  <si>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</si>
  <si>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</si>
  <si>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</si>
  <si>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</si>
  <si>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</si>
  <si>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</si>
  <si>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</si>
  <si>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</si>
  <si>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</si>
  <si>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</si>
  <si>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</si>
  <si>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</si>
  <si>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</si>
  <si>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</si>
  <si>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</si>
  <si>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</si>
  <si>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</si>
  <si>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</si>
  <si>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</si>
  <si>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</si>
  <si>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</si>
  <si>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</si>
  <si>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</si>
  <si>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</si>
  <si>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</si>
  <si>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</si>
  <si>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</si>
  <si>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</si>
  <si>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</si>
  <si>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</si>
  <si>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</si>
  <si>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</si>
  <si>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</si>
  <si>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</si>
  <si>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</si>
  <si>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</si>
  <si>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</si>
  <si>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</si>
  <si>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</si>
  <si>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</si>
  <si>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</si>
  <si>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</si>
  <si>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</si>
  <si>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</si>
  <si>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</si>
  <si>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</si>
  <si>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</si>
  <si>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</si>
  <si>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</si>
  <si>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</si>
  <si>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</si>
  <si>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</si>
  <si>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</si>
  <si>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</si>
  <si>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</si>
  <si>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</si>
  <si>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</si>
  <si>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</si>
  <si>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</si>
  <si>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</si>
  <si>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</si>
  <si>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</si>
  <si>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</si>
  <si>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</si>
  <si>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</si>
  <si>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</si>
  <si>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</si>
  <si>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</si>
  <si>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</si>
  <si>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</si>
  <si>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</si>
  <si>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</si>
  <si>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</si>
  <si>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</si>
  <si>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</si>
  <si>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</si>
  <si>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</si>
  <si>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</si>
  <si>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</si>
  <si>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</si>
  <si>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</si>
  <si>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</si>
  <si>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</si>
  <si>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</si>
  <si>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</si>
  <si>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</si>
  <si>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</si>
  <si>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</si>
  <si>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</si>
  <si>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</si>
  <si>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</si>
  <si>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</si>
  <si>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</si>
  <si>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</si>
  <si>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</si>
  <si>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</si>
  <si>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</si>
  <si>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</si>
  <si>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</si>
  <si>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</si>
  <si>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</si>
  <si>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</si>
  <si>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</si>
  <si>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</si>
  <si>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</si>
  <si>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</si>
  <si>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</si>
  <si>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</si>
  <si>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</si>
  <si>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</si>
  <si>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</si>
  <si>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</si>
  <si>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</si>
  <si>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</si>
  <si>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</si>
  <si>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</si>
  <si>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</si>
  <si>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</si>
  <si>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</si>
  <si>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</si>
  <si>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</si>
  <si>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</si>
  <si>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</si>
  <si>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</si>
  <si>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</si>
  <si>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</si>
  <si>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</si>
  <si>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</si>
  <si>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</si>
  <si>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</si>
  <si>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</si>
  <si>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</si>
  <si>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</si>
  <si>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</si>
  <si>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</si>
  <si>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</si>
  <si>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</si>
  <si>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</si>
  <si>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</si>
  <si>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</si>
  <si>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</si>
  <si>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</si>
  <si>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</si>
  <si>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</si>
  <si>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</si>
  <si>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</si>
  <si>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</si>
  <si>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</si>
  <si>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</si>
  <si>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</si>
  <si>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</si>
  <si>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</si>
  <si>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</si>
  <si>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</si>
  <si>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</si>
  <si>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</si>
  <si>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</si>
  <si>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</si>
  <si>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</si>
  <si>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</si>
  <si>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</si>
  <si>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</si>
  <si>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</si>
  <si>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</si>
  <si>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</si>
  <si>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</si>
  <si>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</si>
  <si>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</si>
  <si>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</si>
  <si>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</si>
  <si>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</si>
  <si>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</si>
  <si>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</si>
  <si>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</si>
  <si>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</si>
  <si>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</si>
  <si>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</si>
  <si>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</si>
  <si>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</si>
  <si>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</si>
  <si>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</si>
  <si>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</si>
  <si>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</si>
  <si>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</si>
  <si>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</si>
  <si>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</si>
  <si>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</si>
  <si>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</si>
  <si>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</si>
  <si>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</si>
  <si>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</si>
  <si>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</si>
  <si>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</si>
  <si>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</si>
  <si>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</si>
  <si>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</si>
  <si>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</si>
  <si>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</si>
  <si>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</si>
  <si>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</si>
  <si>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</si>
  <si>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</si>
  <si>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</si>
  <si>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</si>
  <si>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</si>
  <si>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</si>
  <si>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</si>
  <si>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</si>
  <si>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</si>
  <si>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</si>
  <si>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</si>
  <si>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</si>
  <si>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</si>
  <si>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</si>
  <si>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</si>
  <si>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</si>
  <si>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</si>
  <si>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</si>
  <si>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</si>
  <si>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</si>
  <si>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</si>
  <si>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</si>
  <si>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</si>
  <si>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</si>
  <si>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</si>
  <si>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</si>
  <si>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</si>
  <si>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</si>
  <si>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</si>
  <si>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</si>
  <si>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</si>
  <si>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</si>
  <si>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</si>
  <si>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</si>
  <si>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</si>
  <si>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</si>
  <si>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</si>
  <si>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</si>
  <si>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</si>
  <si>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</si>
  <si>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</si>
  <si>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</si>
  <si>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</si>
  <si>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</si>
  <si>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</si>
  <si>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</si>
  <si>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</si>
  <si>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</si>
  <si>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</si>
  <si>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</si>
  <si>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</si>
  <si>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</si>
  <si>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</si>
  <si>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</si>
  <si>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</si>
  <si>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</si>
  <si>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</si>
  <si>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</si>
  <si>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</si>
  <si>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</si>
  <si>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</si>
  <si>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</si>
  <si>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</si>
  <si>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</si>
  <si>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</si>
  <si>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</si>
  <si>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</si>
  <si>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</si>
  <si>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</si>
  <si>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</si>
  <si>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</si>
  <si>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</si>
  <si>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</si>
  <si>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</si>
  <si>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</si>
  <si>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</si>
  <si>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</si>
  <si>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</si>
  <si>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</si>
  <si>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</si>
  <si>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</si>
  <si>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</si>
  <si>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</si>
  <si>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</si>
  <si>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</si>
  <si>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</si>
  <si>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</si>
  <si>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</si>
  <si>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</si>
  <si>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</si>
  <si>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</si>
  <si>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</si>
  <si>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</si>
  <si>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</si>
  <si>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</si>
  <si>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</si>
  <si>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</si>
  <si>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</si>
  <si>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</si>
  <si>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</si>
  <si>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</si>
  <si>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</si>
  <si>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</si>
  <si>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</si>
  <si>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</si>
  <si>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</si>
  <si>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</si>
  <si>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</si>
  <si>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</si>
  <si>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</si>
  <si>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</si>
  <si>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</si>
  <si>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</si>
  <si>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</si>
  <si>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</si>
  <si>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</si>
  <si>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</si>
  <si>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</si>
  <si>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</si>
  <si>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</si>
  <si>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</si>
  <si>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</si>
  <si>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</si>
  <si>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</si>
  <si>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</si>
  <si>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</si>
  <si>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</si>
  <si>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</si>
  <si>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</si>
  <si>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</si>
  <si>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</si>
  <si>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</si>
  <si>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</si>
  <si>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</si>
  <si>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</si>
  <si>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</si>
  <si>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</si>
  <si>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</si>
  <si>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</si>
  <si>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</si>
  <si>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</si>
  <si>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</si>
  <si>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</si>
  <si>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</si>
  <si>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</si>
  <si>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</si>
  <si>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</si>
  <si>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</si>
  <si>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</si>
  <si>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</si>
  <si>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</si>
  <si>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</si>
  <si>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</si>
  <si>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</si>
  <si>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</si>
  <si>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</si>
  <si>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</si>
  <si>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</si>
  <si>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</si>
  <si>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</si>
  <si>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</si>
  <si>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</si>
  <si>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</si>
  <si>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</si>
  <si>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</si>
  <si>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</si>
  <si>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</si>
  <si>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</si>
  <si>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</si>
  <si>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</si>
  <si>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</si>
  <si>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</si>
  <si>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</si>
  <si>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</si>
  <si>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</si>
  <si>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</si>
  <si>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</si>
  <si>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</si>
  <si>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</si>
  <si>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</si>
  <si>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</si>
  <si>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</si>
  <si>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</si>
  <si>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</si>
  <si>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</si>
  <si>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</si>
  <si>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</si>
  <si>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</si>
  <si>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</si>
  <si>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</si>
  <si>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</si>
  <si>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</si>
  <si>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</si>
  <si>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</si>
  <si>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</si>
  <si>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</si>
  <si>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</si>
  <si>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</si>
  <si>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</si>
  <si>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</si>
  <si>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</si>
  <si>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</si>
  <si>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</si>
  <si>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</si>
  <si>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</si>
  <si>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</si>
  <si>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</si>
  <si>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</si>
  <si>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</si>
  <si>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</si>
  <si>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</si>
  <si>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</si>
  <si>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</si>
  <si>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</si>
  <si>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</si>
  <si>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</si>
  <si>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</si>
  <si>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</si>
  <si>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</si>
  <si>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</si>
  <si>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</si>
  <si>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</si>
  <si>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</si>
  <si>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</si>
  <si>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</si>
  <si>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</si>
  <si>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</si>
  <si>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</si>
  <si>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</si>
  <si>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</si>
  <si>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</si>
  <si>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</si>
  <si>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</si>
  <si>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</si>
  <si>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</si>
  <si>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</si>
  <si>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</si>
  <si>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</si>
  <si>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</si>
  <si>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</si>
  <si>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</si>
  <si>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</si>
  <si>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</si>
  <si>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</si>
  <si>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</si>
  <si>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</si>
  <si>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</si>
  <si>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</si>
  <si>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</si>
  <si>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</si>
  <si>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</si>
  <si>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</si>
  <si>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</si>
  <si>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</si>
  <si>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</si>
  <si>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</si>
  <si>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</si>
  <si>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</si>
  <si>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</si>
  <si>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</si>
  <si>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</si>
  <si>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</si>
  <si>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</si>
  <si>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</si>
  <si>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</si>
  <si>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</si>
  <si>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</si>
  <si>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</si>
  <si>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</si>
  <si>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</si>
  <si>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</si>
  <si>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</si>
  <si>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</si>
  <si>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</si>
  <si>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</si>
  <si>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</si>
  <si>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</si>
  <si>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</si>
  <si>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</si>
  <si>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</si>
  <si>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</si>
  <si>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</si>
  <si>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</si>
  <si>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</si>
  <si>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</si>
  <si>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</si>
  <si>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</si>
  <si>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</si>
  <si>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</si>
  <si>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</si>
  <si>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</si>
  <si>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</si>
  <si>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</si>
  <si>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</si>
  <si>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</si>
  <si>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</si>
  <si>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</si>
  <si>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</si>
  <si>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</si>
  <si>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</si>
  <si>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</si>
  <si>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</si>
  <si>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</si>
  <si>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</si>
  <si>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</si>
  <si>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</si>
  <si>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</si>
  <si>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</si>
  <si>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</si>
  <si>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</si>
  <si>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</si>
  <si>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</si>
  <si>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</si>
  <si>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</si>
  <si>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</si>
  <si>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</si>
  <si>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</si>
  <si>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</si>
  <si>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</si>
  <si>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</si>
  <si>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</si>
  <si>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</si>
  <si>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</si>
  <si>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</si>
  <si>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</si>
  <si>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</si>
  <si>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</si>
  <si>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</si>
  <si>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</si>
  <si>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</si>
  <si>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</si>
  <si>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</si>
  <si>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</si>
  <si>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</si>
  <si>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</si>
  <si>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</si>
  <si>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</si>
  <si>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</si>
  <si>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</si>
  <si>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</si>
  <si>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</si>
  <si>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</si>
  <si>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</si>
  <si>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</si>
  <si>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</si>
  <si>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</si>
  <si>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</si>
  <si>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</si>
  <si>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</si>
  <si>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</si>
  <si>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</si>
  <si>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</si>
  <si>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</si>
  <si>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</si>
  <si>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</si>
  <si>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</si>
  <si>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</si>
  <si>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</si>
  <si>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</si>
  <si>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</si>
  <si>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</si>
  <si>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</si>
  <si>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</si>
  <si>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</si>
  <si>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</si>
  <si>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</si>
  <si>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</si>
  <si>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</si>
  <si>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</si>
  <si>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</si>
  <si>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</si>
  <si>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</si>
  <si>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</si>
  <si>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</si>
  <si>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</si>
  <si>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</si>
  <si>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</si>
  <si>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</si>
  <si>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</si>
  <si>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</si>
  <si>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</si>
  <si>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</si>
  <si>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</si>
  <si>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</si>
  <si>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</si>
  <si>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</si>
  <si>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</si>
  <si>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</si>
  <si>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</si>
  <si>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</si>
  <si>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</si>
  <si>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</si>
  <si>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</si>
  <si>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</si>
  <si>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</si>
  <si>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</si>
  <si>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</si>
  <si>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</si>
  <si>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</si>
  <si>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</si>
  <si>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</si>
  <si>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</si>
  <si>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</si>
  <si>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</si>
  <si>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</si>
  <si>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</si>
  <si>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</si>
  <si>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</si>
  <si>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</si>
  <si>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</si>
  <si>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</si>
  <si>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</si>
  <si>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</si>
  <si>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</si>
  <si>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</si>
  <si>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</si>
  <si>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</si>
  <si>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</si>
  <si>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</si>
  <si>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</si>
  <si>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</si>
  <si>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</si>
  <si>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</si>
  <si>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</si>
  <si>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</si>
  <si>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</si>
  <si>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</si>
  <si>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</si>
  <si>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</si>
  <si>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</si>
  <si>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</si>
  <si>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</si>
  <si>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</si>
  <si>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</si>
  <si>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</si>
  <si>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</si>
  <si>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</si>
  <si>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</si>
  <si>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</si>
  <si>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</si>
  <si>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</si>
  <si>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</si>
  <si>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</si>
  <si>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</si>
  <si>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</si>
  <si>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</si>
  <si>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</si>
  <si>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</si>
  <si>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</si>
  <si>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</si>
  <si>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</si>
  <si>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</si>
  <si>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</si>
  <si>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</si>
  <si>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</si>
  <si>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</si>
  <si>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</si>
  <si>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</si>
  <si>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</si>
  <si>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</si>
  <si>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</si>
  <si>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</si>
  <si>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</si>
  <si>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</si>
  <si>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</si>
  <si>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</si>
  <si>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</si>
  <si>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</si>
  <si>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</si>
  <si>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</si>
  <si>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</si>
  <si>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</si>
  <si>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</si>
  <si>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</si>
  <si>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</si>
  <si>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</si>
  <si>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</si>
  <si>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</si>
  <si>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</si>
  <si>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</si>
  <si>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</si>
  <si>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</si>
  <si>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</si>
  <si>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</si>
  <si>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</si>
  <si>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</si>
  <si>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</si>
  <si>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</si>
  <si>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</si>
  <si>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</si>
  <si>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</si>
  <si>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</si>
  <si>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</si>
  <si>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</si>
  <si>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</si>
  <si>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</si>
  <si>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</si>
  <si>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</si>
  <si>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</si>
  <si>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</si>
  <si>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</si>
  <si>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</si>
  <si>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</si>
  <si>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</si>
  <si>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</si>
  <si>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</si>
  <si>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</si>
  <si>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</si>
  <si>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</si>
  <si>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</si>
  <si>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</si>
  <si>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</si>
  <si>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</si>
  <si>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</si>
  <si>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</si>
  <si>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</si>
  <si>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</si>
  <si>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</si>
  <si>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</si>
  <si>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</si>
  <si>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</si>
  <si>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</si>
  <si>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</si>
  <si>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</si>
  <si>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</si>
  <si>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</si>
  <si>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</si>
  <si>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</si>
  <si>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</si>
  <si>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</si>
  <si>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</si>
  <si>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</si>
  <si>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</si>
  <si>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</si>
  <si>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</si>
  <si>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</si>
  <si>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</si>
  <si>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</si>
  <si>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</si>
  <si>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</si>
  <si>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</si>
  <si>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</si>
  <si>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</si>
  <si>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</si>
  <si>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</si>
  <si>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</si>
  <si>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</si>
  <si>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</si>
  <si>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</si>
  <si>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</si>
  <si>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</si>
  <si>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</si>
  <si>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</si>
  <si>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</si>
  <si>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</si>
  <si>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</si>
  <si>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</si>
  <si>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</si>
  <si>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</si>
  <si>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</si>
  <si>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</si>
  <si>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</si>
  <si>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</si>
  <si>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</si>
  <si>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</si>
  <si>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</si>
  <si>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</si>
  <si>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</si>
  <si>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</si>
  <si>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</si>
  <si>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</si>
  <si>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</si>
  <si>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</si>
  <si>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</si>
  <si>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</si>
  <si>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</si>
  <si>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</si>
  <si>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</si>
  <si>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</si>
  <si>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</si>
  <si>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</si>
  <si>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</si>
  <si>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</si>
  <si>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</si>
  <si>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</si>
  <si>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</si>
  <si>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</si>
  <si>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</si>
  <si>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</si>
  <si>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</si>
  <si>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</si>
  <si>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</si>
  <si>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</si>
  <si>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</si>
  <si>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</si>
  <si>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</si>
  <si>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</si>
  <si>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</si>
  <si>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</si>
  <si>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</si>
  <si>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</si>
  <si>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</si>
  <si>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</si>
  <si>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</si>
  <si>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</si>
  <si>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</si>
  <si>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</si>
  <si>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</si>
  <si>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</si>
  <si>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</si>
  <si>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</si>
  <si>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</si>
  <si>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</si>
  <si>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</si>
  <si>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</si>
  <si>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</si>
  <si>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</si>
  <si>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</si>
  <si>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</si>
  <si>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</si>
  <si>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</si>
  <si>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</si>
  <si>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</si>
  <si>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</si>
  <si>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</si>
  <si>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</si>
  <si>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</si>
  <si>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</si>
  <si>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</si>
  <si>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</si>
  <si>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</si>
  <si>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</si>
  <si>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</si>
  <si>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</si>
  <si>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</si>
  <si>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</si>
  <si>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</si>
  <si>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</si>
  <si>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</si>
  <si>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</si>
  <si>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</si>
  <si>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</si>
  <si>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</si>
  <si>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</si>
  <si>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</si>
  <si>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</si>
  <si>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</si>
  <si>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</si>
  <si>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</si>
  <si>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</si>
  <si>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</si>
  <si>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</si>
  <si>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</si>
  <si>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</si>
  <si>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</si>
  <si>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</si>
  <si>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</si>
  <si>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</si>
  <si>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</si>
  <si>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</si>
  <si>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</si>
  <si>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</si>
  <si>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</si>
  <si>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</si>
  <si>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</si>
  <si>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</si>
  <si>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</si>
  <si>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</si>
  <si>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</si>
  <si>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</si>
  <si>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</si>
  <si>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</si>
  <si>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</si>
  <si>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</si>
  <si>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</si>
  <si>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</si>
  <si>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</si>
  <si>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</si>
  <si>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</si>
  <si>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</si>
  <si>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</si>
  <si>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</si>
  <si>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</si>
  <si>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</si>
  <si>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</si>
  <si>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</si>
  <si>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</si>
  <si>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</si>
  <si>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</si>
  <si>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</si>
  <si>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</si>
  <si>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</si>
  <si>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</si>
  <si>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</si>
  <si>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</si>
  <si>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</si>
  <si>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</si>
  <si>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</si>
  <si>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</si>
  <si>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</si>
  <si>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</si>
  <si>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</si>
  <si>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</si>
  <si>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</si>
  <si>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</si>
  <si>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</si>
  <si>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</si>
  <si>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</si>
  <si>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</si>
  <si>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</si>
  <si>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</si>
  <si>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</si>
  <si>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</si>
  <si>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</si>
  <si>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</si>
  <si>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</si>
  <si>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</si>
  <si>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</si>
  <si>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</si>
  <si>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</si>
  <si>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</si>
  <si>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</si>
  <si>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</si>
  <si>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</si>
  <si>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</si>
  <si>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</si>
  <si>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</si>
  <si>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</si>
  <si>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</si>
  <si>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</si>
  <si>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</si>
  <si>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</si>
  <si>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</si>
  <si>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</si>
  <si>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</si>
  <si>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</si>
  <si>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</si>
  <si>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</si>
  <si>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</si>
  <si>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</si>
  <si>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</si>
  <si>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</si>
  <si>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</si>
  <si>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</si>
  <si>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</si>
  <si>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</si>
  <si>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</si>
  <si>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</si>
  <si>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</si>
  <si>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</si>
  <si>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</si>
  <si>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</si>
  <si>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</si>
  <si>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</si>
  <si>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</si>
  <si>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</si>
  <si>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</si>
  <si>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</si>
  <si>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</si>
  <si>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</si>
  <si>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</si>
  <si>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</si>
  <si>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</si>
  <si>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</si>
  <si>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</si>
  <si>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</si>
  <si>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</si>
  <si>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</si>
  <si>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</si>
  <si>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</si>
  <si>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</si>
  <si>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</si>
  <si>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</si>
  <si>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</si>
  <si>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</si>
  <si>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</si>
  <si>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</si>
  <si>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</si>
  <si>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</si>
  <si>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</si>
  <si>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</si>
  <si>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</si>
  <si>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</si>
  <si>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</si>
  <si>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</si>
  <si>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</si>
  <si>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</si>
  <si>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</si>
  <si>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</si>
  <si>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</si>
  <si>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</si>
  <si>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</si>
  <si>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</si>
  <si>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</si>
  <si>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</si>
  <si>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</si>
  <si>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</si>
  <si>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</si>
  <si>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</si>
  <si>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</si>
  <si>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</si>
  <si>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</si>
  <si>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</si>
  <si>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</si>
  <si>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</si>
  <si>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</si>
  <si>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</si>
  <si>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</si>
  <si>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</si>
  <si>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</si>
  <si>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</si>
  <si>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</si>
  <si>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</si>
  <si>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</si>
  <si>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</si>
  <si>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</si>
  <si>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</si>
  <si>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</si>
  <si>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</si>
  <si>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</si>
  <si>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</si>
  <si>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</si>
  <si>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</si>
  <si>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</si>
  <si>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</si>
  <si>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</si>
  <si>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</si>
  <si>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</si>
  <si>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</si>
  <si>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</si>
  <si>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</si>
  <si>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</si>
  <si>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</si>
  <si>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</si>
  <si>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</si>
  <si>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</si>
  <si>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</si>
  <si>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</si>
  <si>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</si>
  <si>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</si>
  <si>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</si>
  <si>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</si>
  <si>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</si>
  <si>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</si>
  <si>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</si>
  <si>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</si>
  <si>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</si>
  <si>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</si>
  <si>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</si>
  <si>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</si>
  <si>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</si>
  <si>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</si>
  <si>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</si>
  <si>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</si>
  <si>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</si>
  <si>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</si>
  <si>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</si>
  <si>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</si>
  <si>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</si>
  <si>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</si>
  <si>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</si>
  <si>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</si>
  <si>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</si>
  <si>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</si>
  <si>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</si>
  <si>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</si>
  <si>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</si>
  <si>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</si>
  <si>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</si>
  <si>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</si>
  <si>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</si>
  <si>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</si>
  <si>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</si>
  <si>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</si>
  <si>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</si>
  <si>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</si>
  <si>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</si>
  <si>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</si>
  <si>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</si>
  <si>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</si>
  <si>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</si>
  <si>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</si>
  <si>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</si>
  <si>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</si>
  <si>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</si>
  <si>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</si>
  <si>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</si>
  <si>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</si>
  <si>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</si>
  <si>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</si>
  <si>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</si>
  <si>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</si>
  <si>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</si>
  <si>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</si>
  <si>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</si>
  <si>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</si>
  <si>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</si>
  <si>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</si>
  <si>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</si>
  <si>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</si>
  <si>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</si>
  <si>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</si>
  <si>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</si>
  <si>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</si>
  <si>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</si>
  <si>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</si>
  <si>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</si>
  <si>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</si>
  <si>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</si>
  <si>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</si>
  <si>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</si>
  <si>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</si>
  <si>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</si>
  <si>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</si>
  <si>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</si>
  <si>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</si>
  <si>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</si>
  <si>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</si>
  <si>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</si>
  <si>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</si>
  <si>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</si>
  <si>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</si>
  <si>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</si>
  <si>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</si>
  <si>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</si>
  <si>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</si>
  <si>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</si>
  <si>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</si>
  <si>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</si>
  <si>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</si>
  <si>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</si>
  <si>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</si>
  <si>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</si>
  <si>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</si>
  <si>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</si>
  <si>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</si>
  <si>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</si>
  <si>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</si>
  <si>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</si>
  <si>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</si>
  <si>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</si>
  <si>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</si>
  <si>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</si>
  <si>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</si>
  <si>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</si>
  <si>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</si>
  <si>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</si>
  <si>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</si>
  <si>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</si>
  <si>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</si>
  <si>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</si>
  <si>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</si>
  <si>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</si>
  <si>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</si>
  <si>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</si>
  <si>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</si>
  <si>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</si>
  <si>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</si>
  <si>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</si>
  <si>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</si>
  <si>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</si>
  <si>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</si>
  <si>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</si>
  <si>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</si>
  <si>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</si>
  <si>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</si>
  <si>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</si>
  <si>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</si>
  <si>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</si>
  <si>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</si>
  <si>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</si>
  <si>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</si>
  <si>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</si>
  <si>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</si>
  <si>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</si>
  <si>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</si>
  <si>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</si>
  <si>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</si>
  <si>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</si>
  <si>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</si>
  <si>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</si>
  <si>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</si>
  <si>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</si>
  <si>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</si>
  <si>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</si>
  <si>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</si>
  <si>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</si>
  <si>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</si>
  <si>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</si>
  <si>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</si>
  <si>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</si>
  <si>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</si>
  <si>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</si>
  <si>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</si>
  <si>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</si>
  <si>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</si>
  <si>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</si>
  <si>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</si>
  <si>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</si>
  <si>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</si>
  <si>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</si>
  <si>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</si>
  <si>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</si>
  <si>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</si>
  <si>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</si>
  <si>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</si>
  <si>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</si>
  <si>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</si>
  <si>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</si>
  <si>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</si>
  <si>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</si>
  <si>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</si>
  <si>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</si>
  <si>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</si>
  <si>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</si>
  <si>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</si>
  <si>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</si>
  <si>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</si>
  <si>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</si>
  <si>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</si>
  <si>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</si>
  <si>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</si>
  <si>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</si>
  <si>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</si>
  <si>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</si>
  <si>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</si>
  <si>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</si>
  <si>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</si>
  <si>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</si>
  <si>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</si>
  <si>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</si>
  <si>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</si>
  <si>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</si>
  <si>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</si>
  <si>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</si>
  <si>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</si>
  <si>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</si>
  <si>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</si>
  <si>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</si>
  <si>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</si>
  <si>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</si>
  <si>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</si>
  <si>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</si>
  <si>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</si>
  <si>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</si>
  <si>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</si>
  <si>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</si>
  <si>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</si>
  <si>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</si>
  <si>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</si>
  <si>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</si>
  <si>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</si>
  <si>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</si>
  <si>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</si>
  <si>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</si>
  <si>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</si>
  <si>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</si>
  <si>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</si>
  <si>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</si>
  <si>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</si>
  <si>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</si>
  <si>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</si>
  <si>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</si>
  <si>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</si>
  <si>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</si>
  <si>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</si>
  <si>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</si>
  <si>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</si>
  <si>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</si>
  <si>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</si>
  <si>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</si>
  <si>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</si>
  <si>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</si>
  <si>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</si>
  <si>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</si>
  <si>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</si>
  <si>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</si>
  <si>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</si>
  <si>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</si>
  <si>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</si>
  <si>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</si>
  <si>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</si>
  <si>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</si>
  <si>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</si>
  <si>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</si>
  <si>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</si>
  <si>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</si>
  <si>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</si>
  <si>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</si>
  <si>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</si>
  <si>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</si>
  <si>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</si>
  <si>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</si>
  <si>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</si>
  <si>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</si>
  <si>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</si>
  <si>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</si>
  <si>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</si>
  <si>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</si>
  <si>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</si>
  <si>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</si>
  <si>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</si>
  <si>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</si>
  <si>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</si>
  <si>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</si>
  <si>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</si>
  <si>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</si>
  <si>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</si>
  <si>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</si>
  <si>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</si>
  <si>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</si>
  <si>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</si>
  <si>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</si>
  <si>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</si>
  <si>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</si>
  <si>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</si>
  <si>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</si>
  <si>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</si>
  <si>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</si>
  <si>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</si>
  <si>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</si>
  <si>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</si>
  <si>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</si>
  <si>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</si>
  <si>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</si>
  <si>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</si>
  <si>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</si>
  <si>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</si>
  <si>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</si>
  <si>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</si>
  <si>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</si>
  <si>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</si>
  <si>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</si>
  <si>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</si>
  <si>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</si>
  <si>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</si>
  <si>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</si>
  <si>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</si>
  <si>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</si>
  <si>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</si>
  <si>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</si>
  <si>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</si>
  <si>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</si>
  <si>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</si>
  <si>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</si>
  <si>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</si>
  <si>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</si>
  <si>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</si>
  <si>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</si>
  <si>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</si>
  <si>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</si>
  <si>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</si>
  <si>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</si>
  <si>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</si>
  <si>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</si>
  <si>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</si>
  <si>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</si>
  <si>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</si>
  <si>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</si>
  <si>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</si>
  <si>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</si>
  <si>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</si>
  <si>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</si>
  <si>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</si>
  <si>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</si>
  <si>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</si>
  <si>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</si>
  <si>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</si>
  <si>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</si>
  <si>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</si>
  <si>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</si>
  <si>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</si>
  <si>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</si>
  <si>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</si>
  <si>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</si>
  <si>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</si>
  <si>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</si>
  <si>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</si>
  <si>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</si>
  <si>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</si>
  <si>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</si>
  <si>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</si>
  <si>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</si>
  <si>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</si>
  <si>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</si>
  <si>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</si>
  <si>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</si>
  <si>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</si>
  <si>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</si>
  <si>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</si>
  <si>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</si>
  <si>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</si>
  <si>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</si>
  <si>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</si>
  <si>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</si>
  <si>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</si>
  <si>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</si>
  <si>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</si>
  <si>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</si>
  <si>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</si>
  <si>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</si>
  <si>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</si>
  <si>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</si>
  <si>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</si>
  <si>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</si>
  <si>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</si>
  <si>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</si>
  <si>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</si>
  <si>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</si>
  <si>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</si>
  <si>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</si>
  <si>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</si>
  <si>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</si>
  <si>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</si>
  <si>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</si>
  <si>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</si>
  <si>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</si>
  <si>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</si>
  <si>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</si>
  <si>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</si>
  <si>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</si>
  <si>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</si>
  <si>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</si>
  <si>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</si>
  <si>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</si>
  <si>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</si>
  <si>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</si>
  <si>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</si>
  <si>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</si>
  <si>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</si>
  <si>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</si>
  <si>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</si>
  <si>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</si>
  <si>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</si>
  <si>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</si>
  <si>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</si>
  <si>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</si>
  <si>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</si>
  <si>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</si>
  <si>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</si>
  <si>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</si>
  <si>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</si>
  <si>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</si>
  <si>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</si>
  <si>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</si>
  <si>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</si>
  <si>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</si>
  <si>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</si>
  <si>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</si>
  <si>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</si>
  <si>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</si>
  <si>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</si>
  <si>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</si>
  <si>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</si>
  <si>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</si>
  <si>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</si>
  <si>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</si>
  <si>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</si>
  <si>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</si>
  <si>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</si>
  <si>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</si>
  <si>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</si>
  <si>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</si>
  <si>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</si>
  <si>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</si>
  <si>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</si>
  <si>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</si>
  <si>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</si>
  <si>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</si>
  <si>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</si>
  <si>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</si>
  <si>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</si>
  <si>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</si>
  <si>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</si>
  <si>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</si>
  <si>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</si>
  <si>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</si>
  <si>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</si>
  <si>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</si>
  <si>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</si>
  <si>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</si>
  <si>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</si>
  <si>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</si>
  <si>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</si>
  <si>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</si>
  <si>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</si>
  <si>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</si>
  <si>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</si>
  <si>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</si>
  <si>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</si>
  <si>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</si>
  <si>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</si>
  <si>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</si>
  <si>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</si>
  <si>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</si>
  <si>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</si>
  <si>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</si>
  <si>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</si>
  <si>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</si>
  <si>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</si>
  <si>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</si>
  <si>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</si>
  <si>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</si>
  <si>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</si>
  <si>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</si>
  <si>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</si>
  <si>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</si>
  <si>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</si>
  <si>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</si>
  <si>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</si>
  <si>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</si>
  <si>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</si>
  <si>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</si>
  <si>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</si>
  <si>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</si>
  <si>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</si>
  <si>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</si>
  <si>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</si>
  <si>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</si>
  <si>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</si>
  <si>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</si>
  <si>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</si>
  <si>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</si>
  <si>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</si>
  <si>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</si>
  <si>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</si>
  <si>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</si>
  <si>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</si>
  <si>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</si>
  <si>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</si>
  <si>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</si>
  <si>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</si>
  <si>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</si>
  <si>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</si>
  <si>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</si>
  <si>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</si>
  <si>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</si>
  <si>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</si>
  <si>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</si>
  <si>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</si>
  <si>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</si>
  <si>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</si>
  <si>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</si>
  <si>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</si>
  <si>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</si>
  <si>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</si>
  <si>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</si>
  <si>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</si>
  <si>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</si>
  <si>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</si>
  <si>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</si>
  <si>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</si>
  <si>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</si>
  <si>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</si>
  <si>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</si>
  <si>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</si>
  <si>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</si>
  <si>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</si>
  <si>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</si>
  <si>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</si>
  <si>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</si>
  <si>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</si>
  <si>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</si>
  <si>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</si>
  <si>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</si>
  <si>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</si>
  <si>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</si>
  <si>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</si>
  <si>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</si>
  <si>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</si>
  <si>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</si>
  <si>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</si>
  <si>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</si>
  <si>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</si>
  <si>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</si>
  <si>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</si>
  <si>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</si>
  <si>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</si>
  <si>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</si>
  <si>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</si>
  <si>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</si>
  <si>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</si>
  <si>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</si>
  <si>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</si>
  <si>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</si>
  <si>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</si>
  <si>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</si>
  <si>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</si>
  <si>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</si>
  <si>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</si>
  <si>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</si>
  <si>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</si>
  <si>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</si>
  <si>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</si>
  <si>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</si>
  <si>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</si>
  <si>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</si>
  <si>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</si>
  <si>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</si>
  <si>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</si>
  <si>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</si>
  <si>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</si>
  <si>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</si>
  <si>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</si>
  <si>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</si>
  <si>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</si>
  <si>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</si>
  <si>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</si>
  <si>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</si>
  <si>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</si>
  <si>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</si>
  <si>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</si>
  <si>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</si>
  <si>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</si>
  <si>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</si>
  <si>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</si>
  <si>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</si>
  <si>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</si>
  <si>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</si>
  <si>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</si>
  <si>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</si>
  <si>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</si>
  <si>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</si>
  <si>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</si>
  <si>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</si>
  <si>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</si>
  <si>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</si>
  <si>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</si>
  <si>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</si>
  <si>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</si>
  <si>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</si>
  <si>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</si>
  <si>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</si>
  <si>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</si>
  <si>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</si>
  <si>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</si>
  <si>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</si>
  <si>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</si>
  <si>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</si>
  <si>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</si>
  <si>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</si>
  <si>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</si>
  <si>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</si>
  <si>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</si>
  <si>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</si>
  <si>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</si>
  <si>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</si>
  <si>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</si>
  <si>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</si>
  <si>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</si>
  <si>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</si>
  <si>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</si>
  <si>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</si>
  <si>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</si>
  <si>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</si>
  <si>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</si>
  <si>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</si>
  <si>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</si>
  <si>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</si>
  <si>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</si>
  <si>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</si>
  <si>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</si>
  <si>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</si>
  <si>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</si>
  <si>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</si>
  <si>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</si>
  <si>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</si>
  <si>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</si>
  <si>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</si>
  <si>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</si>
  <si>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</si>
  <si>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</si>
  <si>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</si>
  <si>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</si>
  <si>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</si>
  <si>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</si>
  <si>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</si>
  <si>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</si>
  <si>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</si>
  <si>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</si>
  <si>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</si>
  <si>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</si>
  <si>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</si>
  <si>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</si>
  <si>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</si>
  <si>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</si>
  <si>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</si>
  <si>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</si>
  <si>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</si>
  <si>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</si>
  <si>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</si>
  <si>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</si>
  <si>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</si>
  <si>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</si>
  <si>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</si>
  <si>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</si>
  <si>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</si>
  <si>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</si>
  <si>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</si>
  <si>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</si>
  <si>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</si>
  <si>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</si>
  <si>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</si>
  <si>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</si>
  <si>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</si>
  <si>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</si>
  <si>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</si>
  <si>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</si>
  <si>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</si>
  <si>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</si>
  <si>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</si>
  <si>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</si>
  <si>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</si>
  <si>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</si>
  <si>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</si>
  <si>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</si>
  <si>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</si>
  <si>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</si>
  <si>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</si>
  <si>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</si>
  <si>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</si>
  <si>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</si>
  <si>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</si>
  <si>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</si>
  <si>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</si>
  <si>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</si>
  <si>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</si>
  <si>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</si>
  <si>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</si>
  <si>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</si>
  <si>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</si>
  <si>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</si>
  <si>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</si>
  <si>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</si>
  <si>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</si>
  <si>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</si>
  <si>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</si>
  <si>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</si>
  <si>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</si>
  <si>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</si>
  <si>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</si>
  <si>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</si>
  <si>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</si>
  <si>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</si>
  <si>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</si>
  <si>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</si>
  <si>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</si>
  <si>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</si>
  <si>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</si>
  <si>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</si>
  <si>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</si>
  <si>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</si>
  <si>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</si>
  <si>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</si>
  <si>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</si>
  <si>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</si>
  <si>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</si>
  <si>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</si>
  <si>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</si>
  <si>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</si>
  <si>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</si>
  <si>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</si>
  <si>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</si>
  <si>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</si>
  <si>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</si>
  <si>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</si>
  <si>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</si>
  <si>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</si>
  <si>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</si>
  <si>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</si>
  <si>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</si>
  <si>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</si>
  <si>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</si>
  <si>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</si>
  <si>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</si>
  <si>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</si>
  <si>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</si>
  <si>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</si>
  <si>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</si>
  <si>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</si>
  <si>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</si>
  <si>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</si>
  <si>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</si>
  <si>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</si>
  <si>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</si>
  <si>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</si>
  <si>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</si>
  <si>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</si>
  <si>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</si>
  <si>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</si>
  <si>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</si>
  <si>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</si>
  <si>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</si>
  <si>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</si>
  <si>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</si>
  <si>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</si>
  <si>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</si>
  <si>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</si>
  <si>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</si>
  <si>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</si>
  <si>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</si>
  <si>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</si>
  <si>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</si>
  <si>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</si>
  <si>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</si>
  <si>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</si>
  <si>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</si>
  <si>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</si>
  <si>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</si>
  <si>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</si>
  <si>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</si>
  <si>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</si>
  <si>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</si>
  <si>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</si>
  <si>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</si>
  <si>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</si>
  <si>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</si>
  <si>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</si>
  <si>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</si>
  <si>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</si>
  <si>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</si>
  <si>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</si>
  <si>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</si>
  <si>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</si>
  <si>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</si>
  <si>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</si>
  <si>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</si>
  <si>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</si>
  <si>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</si>
  <si>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</si>
  <si>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</si>
  <si>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</si>
  <si>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</si>
  <si>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</si>
  <si>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</si>
  <si>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</si>
  <si>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</si>
  <si>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</si>
  <si>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</si>
  <si>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</si>
  <si>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</si>
  <si>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</si>
  <si>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</si>
  <si>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</si>
  <si>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</si>
  <si>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</si>
  <si>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</si>
  <si>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</si>
  <si>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</si>
  <si>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</si>
  <si>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</si>
  <si>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</si>
  <si>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</si>
  <si>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</si>
  <si>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</si>
  <si>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</si>
  <si>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</si>
  <si>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</si>
  <si>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</si>
  <si>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</si>
  <si>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</si>
  <si>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</si>
  <si>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</si>
  <si>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</si>
  <si>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</si>
  <si>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</si>
  <si>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</si>
  <si>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</si>
  <si>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</si>
  <si>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</si>
  <si>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</si>
  <si>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</si>
  <si>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</si>
  <si>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</si>
  <si>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</si>
  <si>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</si>
  <si>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</si>
  <si>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</si>
  <si>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</si>
  <si>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</si>
  <si>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</si>
  <si>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</si>
  <si>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</si>
  <si>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</si>
  <si>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</si>
  <si>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</si>
  <si>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</si>
  <si>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</si>
  <si>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</si>
  <si>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</si>
  <si>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</si>
  <si>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</si>
  <si>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</si>
  <si>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</si>
  <si>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</si>
  <si>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</si>
  <si>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</si>
  <si>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</si>
  <si>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</si>
  <si>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</si>
  <si>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</si>
  <si>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</si>
  <si>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</si>
  <si>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</si>
  <si>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</si>
  <si>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</si>
  <si>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</si>
  <si>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</si>
  <si>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</si>
  <si>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</si>
  <si>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</si>
  <si>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</si>
  <si>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</si>
  <si>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</si>
  <si>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</si>
  <si>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</si>
  <si>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</si>
  <si>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</si>
  <si>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</si>
  <si>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</si>
  <si>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</si>
  <si>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</si>
  <si>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</si>
  <si>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</si>
  <si>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</si>
  <si>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</si>
  <si>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</si>
  <si>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</si>
  <si>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</si>
  <si>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</si>
  <si>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</si>
  <si>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</si>
  <si>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</si>
  <si>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</si>
  <si>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</si>
  <si>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</si>
  <si>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</si>
  <si>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</si>
  <si>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</si>
  <si>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</si>
  <si>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</si>
  <si>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</si>
  <si>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</si>
  <si>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</si>
  <si>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</si>
  <si>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</si>
  <si>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</si>
  <si>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</si>
  <si>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</si>
  <si>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</si>
  <si>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</si>
  <si>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</si>
  <si>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</si>
  <si>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</si>
  <si>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</si>
  <si>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</si>
  <si>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</si>
  <si>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</si>
  <si>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</si>
  <si>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</si>
  <si>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</si>
  <si>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</si>
  <si>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</si>
  <si>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</si>
  <si>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</si>
  <si>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</si>
  <si>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</si>
  <si>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</si>
  <si>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</si>
  <si>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</si>
  <si>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</si>
  <si>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</si>
  <si>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</si>
  <si>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</si>
  <si>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</si>
  <si>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</si>
  <si>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</si>
  <si>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</si>
  <si>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</si>
  <si>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</si>
  <si>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</si>
  <si>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</si>
  <si>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</si>
  <si>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</si>
  <si>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</si>
  <si>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</si>
  <si>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</si>
  <si>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</si>
  <si>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</si>
  <si>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</si>
  <si>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</si>
  <si>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</si>
  <si>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</si>
  <si>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</si>
  <si>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</si>
  <si>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</si>
  <si>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</si>
  <si>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</si>
  <si>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</si>
  <si>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</si>
  <si>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</si>
  <si>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</si>
  <si>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</si>
  <si>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</si>
  <si>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</si>
  <si>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</si>
  <si>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</si>
  <si>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</si>
  <si>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</si>
  <si>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</si>
  <si>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</si>
  <si>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</si>
  <si>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</si>
  <si>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</si>
  <si>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</si>
  <si>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</si>
  <si>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</si>
  <si>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</si>
  <si>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</si>
  <si>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</si>
  <si>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</si>
  <si>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</si>
  <si>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</si>
  <si>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</si>
  <si>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</si>
  <si>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</si>
  <si>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</si>
  <si>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</si>
  <si>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</si>
  <si>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</si>
  <si>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</si>
  <si>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</si>
  <si>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</si>
  <si>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</si>
  <si>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</si>
  <si>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</si>
  <si>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</si>
  <si>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</si>
  <si>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</si>
  <si>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</si>
  <si>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</si>
  <si>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</si>
  <si>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</si>
  <si>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</si>
  <si>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</si>
  <si>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</si>
  <si>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</si>
  <si>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</si>
  <si>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</si>
  <si>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</si>
  <si>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</si>
  <si>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</si>
  <si>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</si>
  <si>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</si>
  <si>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</si>
  <si>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</si>
  <si>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</si>
  <si>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</si>
  <si>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</si>
  <si>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</si>
  <si>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</si>
  <si>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</si>
  <si>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</si>
  <si>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</si>
  <si>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</si>
  <si>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</si>
  <si>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</si>
  <si>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</si>
  <si>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</si>
  <si>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</si>
  <si>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</si>
  <si>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</si>
  <si>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</si>
  <si>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</si>
  <si>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</si>
  <si>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</si>
  <si>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</si>
  <si>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</si>
  <si>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</si>
  <si>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</si>
  <si>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</si>
  <si>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</si>
  <si>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</si>
  <si>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</si>
  <si>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</si>
  <si>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</si>
  <si>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</si>
  <si>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</si>
  <si>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</si>
  <si>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</si>
  <si>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</si>
  <si>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</si>
  <si>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</si>
  <si>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</si>
  <si>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</si>
  <si>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</si>
  <si>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</si>
  <si>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</si>
  <si>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</si>
  <si>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</si>
  <si>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</si>
  <si>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</si>
  <si>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</si>
  <si>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</si>
  <si>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</si>
  <si>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</si>
  <si>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</si>
  <si>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</si>
  <si>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</si>
  <si>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</si>
  <si>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</si>
  <si>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</si>
  <si>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</si>
  <si>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</si>
  <si>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</si>
  <si>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</si>
  <si>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</si>
  <si>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</si>
  <si>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</si>
  <si>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</si>
  <si>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</si>
  <si>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</si>
  <si>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</si>
  <si>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</si>
  <si>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</si>
  <si>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</si>
  <si>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</si>
  <si>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</si>
  <si>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</si>
  <si>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</si>
  <si>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</si>
  <si>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</si>
  <si>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</si>
  <si>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</si>
  <si>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</si>
  <si>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</si>
  <si>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</si>
  <si>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</si>
  <si>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</si>
  <si>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</si>
  <si>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</si>
  <si>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</si>
  <si>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</si>
  <si>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</si>
  <si>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</si>
  <si>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</si>
  <si>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</si>
  <si>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</si>
  <si>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</si>
  <si>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</si>
  <si>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</si>
  <si>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</si>
  <si>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</si>
  <si>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</si>
  <si>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</si>
  <si>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</si>
  <si>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</si>
  <si>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</si>
  <si>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</si>
  <si>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</si>
  <si>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</si>
  <si>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</si>
  <si>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</si>
  <si>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</si>
  <si>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</si>
  <si>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</si>
  <si>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</si>
  <si>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</si>
  <si>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</si>
  <si>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</si>
  <si>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</si>
  <si>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</si>
  <si>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</si>
  <si>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</si>
  <si>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</si>
  <si>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</si>
  <si>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</si>
  <si>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</si>
  <si>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</si>
  <si>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</si>
  <si>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</si>
  <si>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</si>
  <si>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</si>
  <si>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</si>
  <si>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</si>
  <si>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</si>
  <si>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</si>
  <si>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</si>
  <si>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</si>
  <si>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</si>
  <si>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</si>
  <si>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</si>
  <si>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</si>
  <si>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</si>
  <si>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</si>
  <si>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</si>
  <si>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</si>
  <si>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</si>
  <si>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</si>
  <si>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</si>
  <si>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</si>
  <si>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</si>
  <si>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</si>
  <si>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</si>
  <si>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</si>
  <si>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</si>
  <si>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</si>
  <si>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</si>
  <si>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</si>
  <si>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</si>
  <si>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</si>
  <si>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</si>
  <si>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</si>
  <si>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</si>
  <si>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</si>
  <si>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</si>
  <si>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</si>
  <si>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</si>
  <si>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</si>
  <si>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</si>
  <si>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</si>
  <si>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</si>
  <si>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</si>
  <si>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</si>
  <si>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</si>
  <si>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</si>
  <si>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</si>
  <si>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</si>
  <si>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</si>
  <si>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</si>
  <si>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</si>
  <si>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</si>
  <si>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</si>
  <si>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</si>
  <si>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</si>
  <si>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</si>
  <si>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</si>
  <si>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</si>
  <si>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</si>
  <si>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</si>
  <si>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</si>
  <si>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</si>
  <si>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</si>
  <si>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</si>
  <si>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</si>
  <si>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</si>
  <si>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</si>
  <si>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</si>
  <si>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</si>
  <si>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</si>
  <si>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</si>
  <si>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</si>
  <si>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</si>
  <si>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</si>
  <si>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</si>
  <si>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</si>
  <si>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</si>
  <si>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</si>
  <si>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</si>
  <si>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</si>
  <si>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</si>
  <si>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</si>
  <si>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</si>
  <si>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</si>
  <si>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</si>
  <si>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</si>
  <si>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</si>
  <si>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</si>
  <si>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</si>
  <si>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</si>
  <si>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</si>
  <si>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</si>
  <si>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</si>
  <si>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</si>
  <si>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</si>
  <si>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</si>
  <si>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</si>
  <si>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</si>
  <si>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</si>
  <si>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</si>
  <si>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</si>
  <si>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</si>
  <si>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</si>
  <si>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</si>
  <si>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</si>
  <si>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</si>
  <si>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</si>
  <si>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</si>
  <si>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</si>
  <si>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</si>
  <si>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</si>
  <si>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</si>
  <si>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</si>
  <si>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</si>
  <si>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</si>
  <si>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</si>
  <si>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</si>
  <si>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</si>
  <si>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</si>
  <si>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</si>
  <si>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</si>
  <si>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</si>
  <si>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</si>
  <si>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</si>
  <si>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</si>
  <si>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</si>
  <si>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</si>
  <si>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</si>
  <si>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</si>
  <si>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</si>
  <si>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</si>
  <si>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</si>
  <si>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</si>
  <si>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</si>
  <si>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</si>
  <si>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</si>
  <si>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</si>
  <si>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</si>
  <si>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</si>
  <si>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</si>
  <si>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</si>
  <si>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</si>
  <si>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</si>
  <si>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</si>
  <si>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</si>
  <si>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</si>
  <si>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</si>
  <si>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</si>
  <si>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</si>
  <si>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</si>
  <si>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</si>
  <si>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</si>
  <si>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</si>
  <si>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</si>
  <si>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</si>
  <si>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</si>
  <si>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</si>
  <si>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</si>
  <si>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</si>
  <si>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</si>
  <si>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</si>
  <si>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</si>
  <si>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</si>
  <si>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</si>
  <si>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</si>
  <si>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</si>
  <si>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</si>
  <si>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</si>
  <si>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</si>
  <si>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</si>
  <si>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</si>
  <si>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</si>
  <si>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</si>
  <si>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</si>
  <si>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</si>
  <si>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</si>
  <si>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</si>
  <si>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</si>
  <si>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</si>
  <si>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</si>
  <si>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</si>
  <si>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</si>
  <si>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</si>
  <si>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</si>
  <si>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</si>
  <si>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</si>
  <si>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</si>
  <si>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</si>
  <si>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</si>
  <si>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</si>
  <si>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</si>
  <si>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</si>
  <si>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</si>
  <si>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</si>
  <si>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</si>
  <si>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</si>
  <si>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</si>
  <si>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</si>
  <si>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</si>
  <si>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</si>
  <si>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</si>
  <si>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</si>
  <si>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</si>
  <si>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</si>
  <si>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</si>
  <si>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</si>
  <si>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</si>
  <si>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</si>
  <si>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</si>
  <si>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</si>
  <si>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</si>
  <si>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</si>
  <si>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</si>
  <si>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</si>
  <si>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</si>
  <si>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</si>
  <si>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</si>
  <si>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</si>
  <si>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</si>
  <si>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</si>
  <si>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</si>
  <si>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</si>
  <si>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</si>
  <si>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</si>
  <si>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</si>
  <si>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</si>
  <si>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</si>
  <si>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</si>
  <si>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</si>
  <si>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</si>
  <si>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</si>
  <si>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</si>
  <si>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</si>
  <si>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</si>
  <si>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</si>
  <si>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</si>
  <si>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</si>
  <si>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</si>
  <si>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</si>
  <si>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</si>
  <si>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</si>
  <si>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</si>
  <si>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</si>
  <si>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</si>
  <si>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</si>
  <si>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</si>
  <si>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</si>
  <si>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</si>
  <si>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</si>
  <si>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</si>
  <si>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</si>
  <si>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</si>
  <si>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</si>
  <si>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</si>
  <si>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</si>
  <si>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</si>
  <si>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</si>
  <si>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</si>
  <si>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</si>
  <si>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</si>
  <si>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</si>
  <si>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</si>
  <si>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</si>
  <si>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</si>
  <si>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</si>
  <si>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</si>
  <si>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</si>
  <si>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</si>
  <si>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</si>
  <si>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</si>
  <si>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</si>
  <si>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</si>
  <si>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</si>
  <si>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</si>
  <si>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</si>
  <si>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</si>
  <si>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</si>
  <si>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</si>
  <si>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</si>
  <si>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</si>
  <si>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</si>
  <si>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</si>
  <si>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</si>
  <si>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</si>
  <si>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</si>
  <si>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</si>
  <si>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</si>
  <si>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</si>
  <si>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</si>
  <si>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</si>
  <si>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</si>
  <si>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</si>
  <si>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</si>
  <si>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</si>
  <si>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</si>
  <si>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</si>
  <si>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</si>
  <si>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</si>
  <si>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</si>
  <si>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</si>
  <si>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</si>
  <si>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</si>
  <si>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</si>
  <si>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</si>
  <si>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</si>
  <si>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</si>
  <si>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</si>
  <si>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</si>
  <si>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</si>
  <si>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</si>
  <si>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</si>
  <si>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</si>
  <si>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</si>
  <si>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</si>
  <si>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</si>
  <si>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</si>
  <si>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</si>
  <si>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</si>
  <si>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</si>
  <si>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</si>
  <si>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</si>
  <si>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</si>
  <si>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</si>
  <si>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</si>
  <si>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</si>
  <si>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</si>
  <si>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</si>
  <si>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</si>
  <si>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</si>
  <si>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</si>
  <si>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</si>
  <si>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</si>
  <si>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</si>
  <si>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</si>
  <si>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</si>
  <si>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</si>
  <si>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</si>
  <si>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</si>
  <si>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</si>
  <si>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</si>
  <si>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</si>
  <si>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</si>
  <si>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</si>
  <si>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</si>
  <si>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</si>
  <si>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</si>
  <si>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</si>
  <si>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</si>
  <si>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</si>
  <si>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</si>
  <si>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</si>
  <si>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</si>
  <si>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</si>
  <si>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</si>
  <si>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</si>
  <si>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</si>
  <si>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</si>
  <si>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</si>
  <si>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</si>
  <si>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</si>
  <si>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</si>
  <si>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</si>
  <si>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</si>
  <si>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</si>
  <si>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</si>
  <si>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</si>
  <si>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</si>
  <si>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</si>
  <si>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</si>
  <si>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</si>
  <si>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</si>
  <si>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</si>
  <si>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</si>
  <si>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</si>
  <si>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</si>
  <si>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</si>
  <si>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</si>
  <si>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</si>
  <si>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</si>
  <si>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</si>
  <si>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</si>
  <si>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</si>
  <si>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</si>
  <si>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</si>
  <si>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</si>
  <si>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</si>
  <si>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</si>
  <si>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</si>
  <si>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</si>
  <si>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</si>
  <si>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</si>
  <si>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</si>
  <si>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</si>
  <si>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</si>
  <si>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</si>
  <si>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</si>
  <si>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</si>
  <si>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</si>
  <si>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</si>
  <si>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</si>
  <si>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</si>
  <si>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</si>
  <si>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</si>
  <si>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</si>
  <si>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</si>
  <si>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</si>
  <si>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</si>
  <si>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</si>
  <si>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</si>
  <si>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</si>
  <si>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</si>
  <si>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</si>
  <si>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</si>
  <si>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</si>
  <si>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</si>
  <si>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</si>
  <si>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</si>
  <si>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</si>
  <si>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</si>
  <si>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</si>
  <si>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</si>
  <si>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</si>
  <si>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</si>
  <si>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</si>
  <si>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</si>
  <si>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</si>
  <si>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</si>
  <si>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</si>
  <si>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</si>
  <si>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</si>
  <si>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</si>
  <si>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</si>
  <si>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</si>
  <si>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</si>
  <si>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</si>
  <si>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</si>
  <si>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</si>
  <si>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</si>
  <si>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</si>
  <si>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</si>
  <si>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</si>
  <si>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</si>
  <si>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</si>
  <si>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</si>
  <si>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</si>
  <si>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</si>
  <si>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</si>
  <si>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</si>
  <si>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</si>
  <si>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</si>
  <si>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</si>
  <si>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</si>
  <si>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</si>
  <si>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</si>
  <si>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</si>
  <si>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</si>
  <si>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</si>
  <si>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</si>
  <si>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</si>
  <si>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</si>
  <si>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</si>
  <si>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</si>
  <si>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</si>
  <si>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</si>
  <si>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</si>
  <si>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</si>
  <si>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</si>
  <si>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</si>
  <si>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</si>
  <si>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</si>
  <si>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</si>
  <si>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</si>
  <si>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</si>
  <si>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</si>
  <si>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</si>
  <si>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</si>
  <si>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</si>
  <si>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</si>
  <si>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</si>
  <si>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</si>
  <si>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</si>
  <si>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</si>
  <si>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</si>
  <si>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</si>
  <si>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</si>
  <si>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</si>
  <si>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</si>
  <si>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</si>
  <si>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</si>
  <si>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</si>
  <si>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</si>
  <si>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</si>
  <si>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</si>
  <si>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</si>
  <si>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</si>
  <si>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</si>
  <si>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</si>
  <si>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</si>
  <si>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</si>
  <si>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</si>
  <si>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</si>
  <si>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</si>
  <si>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</si>
  <si>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</si>
  <si>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</si>
  <si>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</si>
  <si>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</si>
  <si>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</si>
  <si>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</si>
  <si>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</si>
  <si>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</si>
  <si>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</si>
  <si>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</si>
  <si>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</si>
  <si>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</si>
  <si>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</si>
  <si>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</si>
  <si>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</si>
  <si>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</si>
  <si>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</si>
  <si>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</si>
  <si>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</si>
  <si>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</si>
  <si>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</si>
  <si>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</si>
  <si>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</si>
  <si>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</si>
  <si>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</si>
  <si>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</si>
  <si>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</si>
  <si>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</si>
  <si>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</si>
  <si>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</si>
  <si>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</si>
  <si>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</si>
  <si>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</si>
  <si>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</si>
  <si>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</si>
  <si>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</si>
  <si>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</si>
  <si>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</si>
  <si>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</si>
  <si>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</si>
  <si>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</si>
  <si>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</si>
  <si>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</si>
  <si>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</si>
  <si>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</si>
  <si>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</si>
  <si>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</si>
  <si>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</si>
  <si>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</si>
  <si>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</si>
  <si>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</si>
  <si>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</si>
  <si>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</si>
  <si>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</si>
  <si>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</si>
  <si>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</si>
  <si>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</si>
  <si>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</si>
  <si>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</si>
  <si>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</si>
  <si>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</si>
  <si>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</si>
  <si>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</si>
  <si>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</si>
  <si>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</si>
  <si>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</si>
  <si>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</si>
  <si>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</si>
  <si>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</si>
  <si>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</si>
  <si>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</si>
  <si>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</si>
  <si>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</si>
  <si>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</si>
  <si>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</si>
  <si>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</si>
  <si>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</si>
  <si>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</si>
  <si>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</si>
  <si>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</si>
  <si>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</si>
  <si>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</si>
  <si>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</si>
  <si>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</si>
  <si>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</si>
  <si>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</si>
  <si>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</si>
  <si>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</si>
  <si>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</si>
  <si>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</si>
  <si>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</si>
  <si>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</si>
  <si>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</si>
  <si>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</si>
  <si>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</si>
  <si>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</si>
  <si>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</si>
  <si>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</si>
  <si>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</si>
  <si>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</si>
  <si>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</si>
  <si>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</si>
  <si>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</si>
  <si>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</si>
  <si>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</si>
  <si>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</si>
  <si>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</si>
  <si>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</si>
  <si>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</si>
  <si>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</si>
  <si>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</si>
  <si>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</si>
  <si>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</si>
  <si>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</si>
  <si>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</si>
  <si>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</si>
  <si>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</si>
  <si>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</si>
  <si>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</si>
  <si>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</si>
  <si>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</si>
  <si>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</si>
  <si>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</si>
  <si>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</si>
  <si>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</si>
  <si>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</si>
  <si>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</si>
  <si>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</si>
  <si>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</si>
  <si>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</si>
  <si>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</si>
  <si>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</si>
  <si>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</si>
  <si>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</si>
  <si>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</si>
  <si>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</si>
  <si>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</si>
  <si>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</si>
  <si>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</si>
  <si>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</si>
  <si>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</si>
  <si>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</si>
  <si>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</si>
  <si>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</si>
  <si>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</si>
  <si>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</si>
  <si>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</si>
  <si>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</si>
  <si>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</si>
  <si>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</si>
  <si>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</si>
  <si>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</si>
  <si>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</si>
  <si>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</si>
  <si>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</si>
  <si>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</si>
  <si>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</si>
  <si>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</si>
  <si>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</si>
  <si>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</si>
  <si>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</si>
  <si>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</si>
  <si>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</si>
  <si>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</si>
  <si>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</si>
  <si>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</si>
  <si>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</si>
  <si>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</si>
  <si>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</si>
  <si>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</si>
  <si>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</si>
  <si>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</si>
  <si>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</si>
  <si>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</si>
  <si>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</si>
  <si>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</si>
  <si>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</si>
  <si>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</si>
  <si>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</si>
  <si>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</si>
  <si>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</si>
  <si>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</si>
  <si>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</si>
  <si>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</si>
  <si>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</si>
  <si>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</si>
  <si>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</si>
  <si>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</si>
  <si>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</si>
  <si>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</si>
  <si>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</si>
  <si>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</si>
  <si>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</si>
  <si>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</si>
  <si>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</si>
  <si>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</si>
  <si>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</si>
  <si>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</si>
  <si>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</si>
  <si>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</si>
  <si>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</si>
  <si>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</si>
  <si>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</si>
  <si>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</si>
  <si>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</si>
  <si>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</si>
  <si>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</si>
  <si>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</si>
  <si>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</si>
  <si>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</si>
  <si>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</si>
  <si>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</si>
  <si>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</si>
  <si>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</si>
  <si>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</si>
  <si>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</si>
  <si>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</si>
  <si>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</si>
  <si>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</si>
  <si>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</si>
  <si>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</si>
  <si>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</si>
  <si>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</si>
  <si>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</si>
  <si>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</si>
  <si>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</si>
  <si>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</si>
  <si>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</si>
  <si>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</si>
  <si>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</si>
  <si>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</si>
  <si>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</si>
  <si>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</si>
  <si>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</si>
  <si>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</si>
  <si>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</si>
  <si>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</si>
  <si>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</si>
  <si>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</si>
  <si>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</si>
  <si>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</si>
  <si>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</si>
  <si>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</si>
  <si>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</si>
  <si>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</si>
  <si>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</si>
  <si>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</si>
  <si>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</si>
  <si>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</si>
  <si>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</si>
  <si>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</si>
  <si>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</si>
  <si>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</si>
  <si>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</si>
  <si>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</si>
  <si>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</si>
  <si>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</si>
  <si>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</si>
  <si>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</si>
  <si>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</si>
  <si>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</si>
  <si>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</si>
  <si>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</si>
  <si>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</si>
  <si>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</si>
  <si>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</si>
  <si>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</si>
  <si>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</si>
  <si>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</si>
  <si>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</si>
  <si>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</si>
  <si>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</si>
  <si>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</si>
  <si>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</si>
  <si>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</si>
  <si>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</si>
  <si>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</si>
  <si>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</si>
  <si>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</si>
  <si>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</si>
  <si>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</si>
  <si>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</si>
  <si>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</si>
  <si>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</si>
  <si>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</si>
  <si>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</si>
  <si>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</si>
  <si>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</si>
  <si>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</si>
  <si>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</si>
  <si>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</si>
  <si>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</si>
  <si>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</si>
  <si>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</si>
  <si>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</si>
  <si>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</si>
  <si>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</si>
  <si>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</si>
  <si>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</si>
  <si>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</si>
  <si>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</si>
  <si>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</si>
  <si>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</si>
  <si>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</si>
  <si>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</si>
  <si>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</si>
  <si>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</si>
  <si>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</si>
  <si>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</si>
  <si>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</si>
  <si>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</si>
  <si>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</si>
  <si>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</si>
  <si>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</si>
  <si>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</si>
  <si>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</si>
  <si>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</si>
  <si>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</si>
  <si>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</si>
  <si>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</si>
  <si>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</si>
  <si>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</si>
  <si>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</si>
  <si>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</si>
  <si>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</si>
  <si>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</si>
  <si>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</si>
  <si>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</si>
  <si>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</si>
  <si>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</si>
  <si>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</si>
  <si>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</si>
  <si>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</si>
  <si>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</si>
  <si>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</si>
  <si>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</si>
  <si>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</si>
  <si>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</si>
  <si>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</si>
  <si>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</si>
  <si>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</si>
  <si>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</si>
  <si>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</si>
  <si>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</si>
  <si>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</si>
  <si>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</si>
  <si>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</si>
  <si>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</si>
  <si>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</si>
  <si>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</si>
  <si>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</si>
  <si>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</si>
  <si>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</si>
  <si>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</si>
  <si>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</si>
  <si>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</si>
  <si>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</si>
  <si>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</si>
  <si>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</si>
  <si>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</si>
  <si>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</si>
  <si>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</si>
  <si>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</si>
  <si>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</si>
  <si>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</si>
  <si>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</si>
  <si>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</si>
  <si>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</si>
  <si>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</si>
  <si>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</si>
  <si>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</si>
  <si>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</si>
  <si>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</si>
  <si>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</si>
  <si>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</si>
  <si>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</si>
  <si>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</si>
  <si>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</si>
  <si>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</si>
  <si>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</si>
  <si>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</si>
  <si>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</si>
  <si>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</si>
  <si>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</si>
  <si>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</si>
  <si>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</si>
  <si>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</si>
  <si>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</si>
  <si>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</si>
  <si>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</si>
  <si>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</si>
  <si>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</si>
  <si>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</si>
  <si>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</si>
  <si>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</si>
  <si>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</si>
  <si>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</si>
  <si>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</si>
  <si>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</si>
  <si>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</si>
  <si>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</si>
  <si>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</si>
  <si>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</si>
  <si>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</si>
  <si>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</si>
  <si>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</si>
  <si>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</si>
  <si>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</si>
  <si>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</si>
  <si>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</si>
  <si>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</si>
  <si>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</si>
  <si>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</si>
  <si>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</si>
  <si>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</si>
  <si>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</si>
  <si>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</si>
  <si>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</si>
  <si>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</si>
  <si>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</si>
  <si>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</si>
  <si>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</si>
  <si>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</si>
  <si>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</si>
  <si>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</si>
  <si>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</si>
  <si>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</si>
  <si>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</si>
  <si>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</si>
  <si>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</si>
  <si>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</si>
  <si>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</si>
  <si>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</si>
  <si>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</si>
  <si>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</si>
  <si>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</si>
  <si>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</si>
  <si>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</si>
  <si>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</si>
  <si>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</si>
  <si>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</si>
  <si>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</si>
  <si>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</si>
  <si>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</si>
  <si>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</si>
  <si>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</si>
  <si>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</si>
  <si>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</si>
  <si>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</si>
  <si>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</si>
  <si>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</si>
  <si>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</si>
  <si>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</si>
  <si>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</si>
  <si>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</si>
  <si>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</si>
  <si>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</si>
  <si>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</si>
  <si>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</si>
  <si>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</si>
  <si>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</si>
  <si>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</si>
  <si>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</si>
  <si>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</si>
  <si>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</si>
  <si>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</si>
  <si>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</si>
  <si>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</si>
  <si>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</si>
  <si>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</si>
  <si>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</si>
  <si>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</si>
  <si>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</si>
  <si>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</si>
  <si>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</si>
  <si>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</si>
  <si>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</si>
  <si>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</si>
  <si>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</si>
  <si>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</si>
  <si>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</si>
  <si>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</si>
  <si>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</si>
  <si>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</si>
  <si>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</si>
  <si>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</si>
  <si>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</si>
  <si>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</si>
  <si>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</si>
  <si>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</si>
  <si>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</si>
  <si>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</si>
  <si>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</si>
  <si>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</si>
  <si>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</si>
  <si>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</si>
  <si>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</si>
  <si>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</si>
  <si>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</si>
  <si>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</si>
  <si>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</si>
  <si>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</si>
  <si>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</si>
  <si>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</si>
  <si>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</si>
  <si>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</si>
  <si>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</si>
  <si>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</si>
  <si>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</si>
  <si>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</si>
  <si>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</si>
  <si>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</si>
  <si>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</si>
  <si>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</si>
  <si>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</si>
  <si>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</si>
  <si>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</si>
  <si>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</si>
  <si>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</si>
  <si>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</si>
  <si>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</si>
  <si>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</si>
  <si>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</si>
  <si>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</si>
  <si>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</si>
  <si>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</si>
  <si>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</si>
  <si>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</si>
  <si>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</si>
  <si>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</si>
  <si>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</si>
  <si>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</si>
  <si>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</si>
  <si>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</si>
  <si>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</si>
  <si>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</si>
  <si>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</si>
  <si>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</si>
  <si>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</si>
  <si>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</si>
  <si>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</si>
  <si>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</si>
  <si>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</si>
  <si>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</si>
  <si>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</si>
  <si>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</si>
  <si>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</si>
  <si>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</si>
  <si>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</si>
  <si>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</si>
  <si>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</si>
  <si>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</si>
  <si>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</si>
  <si>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</si>
  <si>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</si>
  <si>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</si>
  <si>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</si>
  <si>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</si>
  <si>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</si>
  <si>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</si>
  <si>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</si>
  <si>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</si>
  <si>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</si>
  <si>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</si>
  <si>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</si>
  <si>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</si>
  <si>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</si>
  <si>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</si>
  <si>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</si>
  <si>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</si>
  <si>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</si>
  <si>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</si>
  <si>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</si>
  <si>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</si>
  <si>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</si>
  <si>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</si>
  <si>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</si>
  <si>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</si>
  <si>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</si>
  <si>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</si>
  <si>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</si>
  <si>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</si>
  <si>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</si>
  <si>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</si>
  <si>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</si>
  <si>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</si>
  <si>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</si>
  <si>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</si>
  <si>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</si>
  <si>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</si>
  <si>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</si>
  <si>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</si>
  <si>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</si>
  <si>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</si>
  <si>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</si>
  <si>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</si>
  <si>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</si>
  <si>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</si>
  <si>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</si>
  <si>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</si>
  <si>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</si>
  <si>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</si>
  <si>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</si>
  <si>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</si>
  <si>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</si>
  <si>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</si>
  <si>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</si>
  <si>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</si>
  <si>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</si>
  <si>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</si>
  <si>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</si>
  <si>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</si>
  <si>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</si>
  <si>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</si>
  <si>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</si>
  <si>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</si>
  <si>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</si>
  <si>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</si>
  <si>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</si>
  <si>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</si>
  <si>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</si>
  <si>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</si>
  <si>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</si>
  <si>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</si>
  <si>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</si>
  <si>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</si>
  <si>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</si>
  <si>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</si>
  <si>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</si>
  <si>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</si>
  <si>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</si>
  <si>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</si>
  <si>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</si>
  <si>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</si>
  <si>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</si>
  <si>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</si>
  <si>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</si>
  <si>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</si>
  <si>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</si>
  <si>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</si>
  <si>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</si>
  <si>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</si>
  <si>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</si>
  <si>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</si>
  <si>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</si>
  <si>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</si>
  <si>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</si>
  <si>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</si>
  <si>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</si>
  <si>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</si>
  <si>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</si>
  <si>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</si>
  <si>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</si>
  <si>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</si>
  <si>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</si>
  <si>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</si>
  <si>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</si>
  <si>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</si>
  <si>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</si>
  <si>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</si>
  <si>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</si>
  <si>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</si>
  <si>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</si>
  <si>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</si>
  <si>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</si>
  <si>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</si>
  <si>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</si>
  <si>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</si>
  <si>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</si>
  <si>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</si>
  <si>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</si>
  <si>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</si>
  <si>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</si>
  <si>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</si>
  <si>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</si>
  <si>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</si>
  <si>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</si>
  <si>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</si>
  <si>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</si>
  <si>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</si>
  <si>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</si>
  <si>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</si>
  <si>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</si>
  <si>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</si>
  <si>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</si>
  <si>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</si>
  <si>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</si>
  <si>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</si>
  <si>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</si>
  <si>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</si>
  <si>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</si>
  <si>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</si>
  <si>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</si>
  <si>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</si>
  <si>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</si>
  <si>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</si>
  <si>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</si>
  <si>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</si>
  <si>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</si>
  <si>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</si>
  <si>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</si>
  <si>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</si>
  <si>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</si>
  <si>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</si>
  <si>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</si>
  <si>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</si>
  <si>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</si>
  <si>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</si>
  <si>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</si>
  <si>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</si>
  <si>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</si>
  <si>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</si>
  <si>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</si>
  <si>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</si>
  <si>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</si>
  <si>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</si>
  <si>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</si>
  <si>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</si>
  <si>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</si>
  <si>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</si>
  <si>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</si>
  <si>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</si>
  <si>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</si>
  <si>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</si>
  <si>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</si>
  <si>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</si>
  <si>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</si>
  <si>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</si>
  <si>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</si>
  <si>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</si>
  <si>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</si>
  <si>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</si>
  <si>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</si>
  <si>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</si>
  <si>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</si>
  <si>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</si>
  <si>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</si>
  <si>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</si>
  <si>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</si>
  <si>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</si>
  <si>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</si>
  <si>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</si>
  <si>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</si>
  <si>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</si>
  <si>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</si>
  <si>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</si>
  <si>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</si>
  <si>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</si>
  <si>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</si>
  <si>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</si>
  <si>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</si>
  <si>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</si>
  <si>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</si>
  <si>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</si>
  <si>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</si>
  <si>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</si>
  <si>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</si>
  <si>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</si>
  <si>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</si>
  <si>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</si>
  <si>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</si>
  <si>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</si>
  <si>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</si>
  <si>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</si>
  <si>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</si>
  <si>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</si>
  <si>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</si>
  <si>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</si>
  <si>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</si>
  <si>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</si>
  <si>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</si>
  <si>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</si>
  <si>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</si>
  <si>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</si>
  <si>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</si>
  <si>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</si>
  <si>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</si>
  <si>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</si>
  <si>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</si>
  <si>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</si>
  <si>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</si>
  <si>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</si>
  <si>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</si>
  <si>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</si>
  <si>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</si>
  <si>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</si>
  <si>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</si>
  <si>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</si>
  <si>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</si>
  <si>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</si>
  <si>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</si>
  <si>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</si>
  <si>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</si>
  <si>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</si>
  <si>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</si>
  <si>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</si>
  <si>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</si>
  <si>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</si>
  <si>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</si>
  <si>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</si>
  <si>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</si>
  <si>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</si>
  <si>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</si>
  <si>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</si>
  <si>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</si>
  <si>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</si>
  <si>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</si>
  <si>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</si>
  <si>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</si>
  <si>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</si>
  <si>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</si>
  <si>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</si>
  <si>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</si>
  <si>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</si>
  <si>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</si>
  <si>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</si>
  <si>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</si>
  <si>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</si>
  <si>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</si>
  <si>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</si>
  <si>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</si>
  <si>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</si>
  <si>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</si>
  <si>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</si>
  <si>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</si>
  <si>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</si>
  <si>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</si>
  <si>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</si>
  <si>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</si>
  <si>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</si>
  <si>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</si>
  <si>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</si>
  <si>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</si>
  <si>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</si>
  <si>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</si>
  <si>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</si>
  <si>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</si>
  <si>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</si>
  <si>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</si>
  <si>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</si>
  <si>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</si>
  <si>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</si>
  <si>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</si>
  <si>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</si>
  <si>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</si>
  <si>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</si>
  <si>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</si>
  <si>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</si>
  <si>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</si>
  <si>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</si>
  <si>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</si>
  <si>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</si>
  <si>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</si>
  <si>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</si>
  <si>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</si>
  <si>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</si>
  <si>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</si>
  <si>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</si>
  <si>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</si>
  <si>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</si>
  <si>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</si>
  <si>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</si>
  <si>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</si>
  <si>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</si>
  <si>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</si>
  <si>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</si>
  <si>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</si>
  <si>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</si>
  <si>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</si>
  <si>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</si>
  <si>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</si>
  <si>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</si>
  <si>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</si>
  <si>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</si>
  <si>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</si>
  <si>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</si>
  <si>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</si>
  <si>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</si>
  <si>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</si>
  <si>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</si>
  <si>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</si>
  <si>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</si>
  <si>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</si>
  <si>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</si>
  <si>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</si>
  <si>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</si>
  <si>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</si>
  <si>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</si>
  <si>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</si>
  <si>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</si>
  <si>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</si>
  <si>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</si>
  <si>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</si>
  <si>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</si>
  <si>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</si>
  <si>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</si>
  <si>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</si>
  <si>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</si>
  <si>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</si>
  <si>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</si>
  <si>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</si>
  <si>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</si>
  <si>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</si>
  <si>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</si>
  <si>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</si>
  <si>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</si>
  <si>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</si>
  <si>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</si>
  <si>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</si>
  <si>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</si>
  <si>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</si>
  <si>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</si>
  <si>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</si>
  <si>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</si>
  <si>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</si>
  <si>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</si>
  <si>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</si>
  <si>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</si>
  <si>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</si>
  <si>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</si>
  <si>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</si>
  <si>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</si>
  <si>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</si>
  <si>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</si>
  <si>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</si>
  <si>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</si>
  <si>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</si>
  <si>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</si>
  <si>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</si>
  <si>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</si>
  <si>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</si>
  <si>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</si>
  <si>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</si>
  <si>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</si>
  <si>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</si>
  <si>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</si>
  <si>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</si>
  <si>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</si>
  <si>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</si>
  <si>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</si>
  <si>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</si>
  <si>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</si>
  <si>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</si>
  <si>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</si>
  <si>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</si>
  <si>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</si>
  <si>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</si>
  <si>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</si>
  <si>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</si>
  <si>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</si>
  <si>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</si>
  <si>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</si>
  <si>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</si>
  <si>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</si>
  <si>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</si>
  <si>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</si>
  <si>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</si>
  <si>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</si>
  <si>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</si>
  <si>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</si>
  <si>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</si>
  <si>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</si>
  <si>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</si>
  <si>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</si>
  <si>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</si>
  <si>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</si>
  <si>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</si>
  <si>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</si>
  <si>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</si>
  <si>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</si>
  <si>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</si>
  <si>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</si>
  <si>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</si>
  <si>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</si>
  <si>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</si>
  <si>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</si>
  <si>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</si>
  <si>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</si>
  <si>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</si>
  <si>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</si>
  <si>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</si>
  <si>
    <t>23052797</t>
  </si>
  <si>
    <t>23050715</t>
  </si>
  <si>
    <t>23050786</t>
  </si>
  <si>
    <t>23050793</t>
  </si>
  <si>
    <t>23050951</t>
  </si>
  <si>
    <t>JUE826/23</t>
  </si>
  <si>
    <t>JUE825/23</t>
  </si>
  <si>
    <t>JL-52299</t>
  </si>
  <si>
    <t>SA230508542</t>
  </si>
  <si>
    <t>SA230508636</t>
  </si>
  <si>
    <t>SA230508637</t>
  </si>
  <si>
    <t>SA230508638</t>
  </si>
  <si>
    <t>03.040.614.4-047.004</t>
  </si>
  <si>
    <t>010.002-23.26042004</t>
  </si>
  <si>
    <t>010.002-23.26042116</t>
  </si>
  <si>
    <t>010.002-23.26042173</t>
  </si>
  <si>
    <t>010.002-23.26042407</t>
  </si>
  <si>
    <t>010.002-23.77872310</t>
  </si>
  <si>
    <t>010.002-23.77872311</t>
  </si>
  <si>
    <t>010.002-23.77872312</t>
  </si>
  <si>
    <t>010.002-23.77872330</t>
  </si>
  <si>
    <t>010.002-23.77872606</t>
  </si>
  <si>
    <t>010.008-23.96757431</t>
  </si>
  <si>
    <t>010.008-23.96757664</t>
  </si>
  <si>
    <t>010.008-23.96757665</t>
  </si>
  <si>
    <t>SA230507077</t>
  </si>
  <si>
    <t>010.008-23.96757666</t>
  </si>
  <si>
    <t>SA230507078</t>
  </si>
  <si>
    <t>010.008-23.96757667</t>
  </si>
  <si>
    <t>SA230507079</t>
  </si>
  <si>
    <t>010.008-23.96757668</t>
  </si>
  <si>
    <t>SA230507080</t>
  </si>
  <si>
    <t>010.008-23.96757693</t>
  </si>
  <si>
    <t>010.008-23.96757963</t>
  </si>
  <si>
    <t>010.008-23.96758249</t>
  </si>
  <si>
    <t>010.008-23.96758554</t>
  </si>
  <si>
    <t>010.008-23.96758600</t>
  </si>
  <si>
    <t>010.008-23.96758624</t>
  </si>
  <si>
    <t>010.008-23.96758836</t>
  </si>
  <si>
    <t>010.008-23.96758837</t>
  </si>
  <si>
    <t>010.008-23.96758895</t>
  </si>
  <si>
    <t>010.008-23.96758896</t>
  </si>
  <si>
    <t>010.008-23.96759350</t>
  </si>
  <si>
    <t>N 0211</t>
  </si>
  <si>
    <t>KO 1036 1039 1043</t>
  </si>
  <si>
    <t>KO 1037 1042 1046</t>
  </si>
  <si>
    <t>KO 1044 1047 1050</t>
  </si>
  <si>
    <t>KO 1495</t>
  </si>
  <si>
    <t>G 1496</t>
  </si>
  <si>
    <t>G 4031</t>
  </si>
  <si>
    <t>TRIDAYA</t>
  </si>
  <si>
    <t>N 4034</t>
  </si>
  <si>
    <t>CAHAYA</t>
  </si>
  <si>
    <t>N 4035</t>
  </si>
  <si>
    <t>RAJA MURAH</t>
  </si>
  <si>
    <t>G 4043</t>
  </si>
  <si>
    <t>SINAR</t>
  </si>
  <si>
    <t>N 4028 4047</t>
  </si>
  <si>
    <t>KO 1487 4037 4049</t>
  </si>
  <si>
    <t>N 4052</t>
  </si>
  <si>
    <t>KO 1490 1497 4058</t>
  </si>
  <si>
    <t>G 4069</t>
  </si>
  <si>
    <t>G 4073</t>
  </si>
  <si>
    <t>G 4027 4030 4080</t>
  </si>
  <si>
    <t>G 4062 4074 4083</t>
  </si>
  <si>
    <t>G 4085</t>
  </si>
  <si>
    <t>KO 4060 4081 4094</t>
  </si>
  <si>
    <t>G 1494 4095</t>
  </si>
  <si>
    <t>G 4075 1500 4098</t>
  </si>
  <si>
    <t>G 1492 4099</t>
  </si>
  <si>
    <t>G 4053 4044 4151</t>
  </si>
  <si>
    <t>G 4046 4097 4158</t>
  </si>
  <si>
    <t>KO 4163</t>
  </si>
  <si>
    <t>KO 4057 4091 4167</t>
  </si>
  <si>
    <t>N 4026 4169</t>
  </si>
  <si>
    <t>KO 4032 4152 4172</t>
  </si>
  <si>
    <t>KO 4177</t>
  </si>
  <si>
    <t>ANEKA SWALAYAN</t>
  </si>
  <si>
    <t>N 4178</t>
  </si>
  <si>
    <t>N 4179</t>
  </si>
  <si>
    <t>G 4180</t>
  </si>
  <si>
    <t>ROYYAN</t>
  </si>
  <si>
    <t>TASLIM</t>
  </si>
  <si>
    <t>G 4181</t>
  </si>
  <si>
    <t>N 4182</t>
  </si>
  <si>
    <t>N 4188</t>
  </si>
  <si>
    <t>KO 4192</t>
  </si>
  <si>
    <t>KO 4055 4189 4193</t>
  </si>
  <si>
    <t>N 4195</t>
  </si>
  <si>
    <t>G 4200</t>
  </si>
  <si>
    <t>TIP TOP</t>
  </si>
  <si>
    <t>L305056</t>
  </si>
  <si>
    <t>SA230508741</t>
  </si>
  <si>
    <t>010.008-23.16216004</t>
  </si>
  <si>
    <t>010.008-23.16216005</t>
  </si>
  <si>
    <t>G 4164 4202</t>
  </si>
  <si>
    <t>KO 4041 4084 4203</t>
  </si>
  <si>
    <t>G 4168 4092 4206</t>
  </si>
  <si>
    <t>KO 4211</t>
  </si>
  <si>
    <t>KO 4154 4096 4212</t>
  </si>
  <si>
    <t>KO 4187 4214 4218</t>
  </si>
  <si>
    <t>N 4171 4183 4220</t>
  </si>
  <si>
    <t>KO 4157 4196 4222</t>
  </si>
  <si>
    <t>KO 4056 4185 4229</t>
  </si>
  <si>
    <t>G 4029 4174 4233</t>
  </si>
  <si>
    <t>G 4208 4234</t>
  </si>
  <si>
    <t>G 4240</t>
  </si>
  <si>
    <t>KO 4038 4048 4242</t>
  </si>
  <si>
    <t>N 4246</t>
  </si>
  <si>
    <t>KO 4059 4089 4249</t>
  </si>
  <si>
    <t>G 4308</t>
  </si>
  <si>
    <t>N 4309</t>
  </si>
  <si>
    <t>KO 4310</t>
  </si>
  <si>
    <t>N 4066 4311</t>
  </si>
  <si>
    <t>KO 4312</t>
  </si>
  <si>
    <t>KO 4306 4314</t>
  </si>
  <si>
    <t>G 4191 4315</t>
  </si>
  <si>
    <t>KO 4033 4160 4316</t>
  </si>
  <si>
    <t>G 4317</t>
  </si>
  <si>
    <t>MIRACLE ABADI</t>
  </si>
  <si>
    <t>KO 4318</t>
  </si>
  <si>
    <t>KO 4215 4221 4319</t>
  </si>
  <si>
    <t>G 4303 4232 4320</t>
  </si>
  <si>
    <t>IMANUEL</t>
  </si>
  <si>
    <t>KO 4039 4087 4324</t>
  </si>
  <si>
    <t>KO 4071 4307 4326</t>
  </si>
  <si>
    <t>G 4070 4045 4327</t>
  </si>
  <si>
    <t>KO 4024 4079 4329</t>
  </si>
  <si>
    <t>N 4067 4239 4331</t>
  </si>
  <si>
    <t>N 4333</t>
  </si>
  <si>
    <t>KO 4159 4336</t>
  </si>
  <si>
    <t>N 4321 4328 4340</t>
  </si>
  <si>
    <t>G 4342</t>
  </si>
  <si>
    <t>KO 4344</t>
  </si>
  <si>
    <t>G 4201 4225 4347</t>
  </si>
  <si>
    <t>G 4349</t>
  </si>
  <si>
    <t>KO 4343 4350 4501</t>
  </si>
  <si>
    <t>KO 1491 4228 4502</t>
  </si>
  <si>
    <t>G 4504</t>
  </si>
  <si>
    <t>N 4339 4506</t>
  </si>
  <si>
    <t>G 4230 4346 4507</t>
  </si>
  <si>
    <t>G 4511</t>
  </si>
  <si>
    <t>G 4090 4512</t>
  </si>
  <si>
    <t>N 4514</t>
  </si>
  <si>
    <t>KO 4516</t>
  </si>
  <si>
    <t>G 4241 4520</t>
  </si>
  <si>
    <t>G 4521</t>
  </si>
  <si>
    <t>SINAR PARTY</t>
  </si>
  <si>
    <t>KO 4227 4243 4522</t>
  </si>
  <si>
    <t>G 4523</t>
  </si>
  <si>
    <t>KO 4301 4524</t>
  </si>
  <si>
    <t>G 4345 4527</t>
  </si>
  <si>
    <t>KO 4025 4304 4528</t>
  </si>
  <si>
    <t>N 4529</t>
  </si>
  <si>
    <t>KO 4530</t>
  </si>
  <si>
    <t>KO 4165 4219 4531</t>
  </si>
  <si>
    <t>KO 4325 4334 4533</t>
  </si>
  <si>
    <t>KO 4197 4207 4534</t>
  </si>
  <si>
    <t>N 4505 4517 4535</t>
  </si>
  <si>
    <t>KO 4155 4213 4536</t>
  </si>
  <si>
    <t>N 4065 4204 4537</t>
  </si>
  <si>
    <t>KO 4166 4538</t>
  </si>
  <si>
    <t>KO 4532 4539</t>
  </si>
  <si>
    <t>KO 4540</t>
  </si>
  <si>
    <t>KO 4245 4323 4541</t>
  </si>
  <si>
    <t>KO 4251</t>
  </si>
  <si>
    <t>KO 1041 1267 1268</t>
  </si>
  <si>
    <t>KO 1264 1049 1270</t>
  </si>
  <si>
    <t>AM 23050201</t>
  </si>
  <si>
    <t>AM 23050202</t>
  </si>
  <si>
    <t>AM 23050203</t>
  </si>
  <si>
    <t>AM 23050204</t>
  </si>
  <si>
    <t>AM 23050205</t>
  </si>
  <si>
    <t>KO 1271 1274 4255</t>
  </si>
  <si>
    <t>KO 4260</t>
  </si>
  <si>
    <t>KO 1038 1040 4261</t>
  </si>
  <si>
    <t>KO 4254 4259 4262</t>
  </si>
  <si>
    <t>KO 4252 4257 4266</t>
  </si>
  <si>
    <t>KO 4256 4264 4267</t>
  </si>
  <si>
    <t>KO 1275 4265 4268</t>
  </si>
  <si>
    <t>KO 1272 1276</t>
  </si>
  <si>
    <t>KO 4269</t>
  </si>
  <si>
    <t>KO 4271</t>
  </si>
  <si>
    <t>KO 1279</t>
  </si>
  <si>
    <t>KO 1277 4270 1280</t>
  </si>
  <si>
    <t>KO 1035 1282</t>
  </si>
  <si>
    <t>KO 4272</t>
  </si>
  <si>
    <t>G 4405 4341 4508</t>
  </si>
  <si>
    <t>KO 4407 4510 4513</t>
  </si>
  <si>
    <t>KO 4408 4525</t>
  </si>
  <si>
    <t>KO 4409</t>
  </si>
  <si>
    <t>G 4410</t>
  </si>
  <si>
    <t>KO 4153 4411</t>
  </si>
  <si>
    <t>G 4190 4412</t>
  </si>
  <si>
    <t>G 4078 4199 4248</t>
  </si>
  <si>
    <t>G 0173</t>
  </si>
  <si>
    <t>G 4313 4413 4414</t>
  </si>
  <si>
    <t>G 4415 4416</t>
  </si>
  <si>
    <t>KO 4417</t>
  </si>
  <si>
    <t>KO 4418</t>
  </si>
  <si>
    <t>N 4186 4237 4419</t>
  </si>
  <si>
    <t>KO 4305 4420</t>
  </si>
  <si>
    <t>KO 4244 4422</t>
  </si>
  <si>
    <t>KO 4335 4424</t>
  </si>
  <si>
    <t>KO 4330 4425</t>
  </si>
  <si>
    <t>KO 4427</t>
  </si>
  <si>
    <t>N 1493 4162 4430</t>
  </si>
  <si>
    <t>N 4402 4431</t>
  </si>
  <si>
    <t>G 4198 4338 4432</t>
  </si>
  <si>
    <t>KO 4433 4526</t>
  </si>
  <si>
    <t>KO 4434</t>
  </si>
  <si>
    <t>G 1498 4226 4436</t>
  </si>
  <si>
    <t>G 4231 4437</t>
  </si>
  <si>
    <t>KO 4406 4438</t>
  </si>
  <si>
    <t>G 4423 4439</t>
  </si>
  <si>
    <t>G 4435 4440 4441</t>
  </si>
  <si>
    <t>KO 4322 4421 4443</t>
  </si>
  <si>
    <t>N 4519 4444</t>
  </si>
  <si>
    <t>G 4337 4428 4445</t>
  </si>
  <si>
    <t>G 1499 4216 4348 4446</t>
  </si>
  <si>
    <t>SERVICE H 1745 H</t>
  </si>
  <si>
    <t>TAMBAH ANGIN RODA MOBIL BOX</t>
  </si>
  <si>
    <t>SPOORING BALANCE H 1745 H</t>
  </si>
  <si>
    <t>TAMBAL BAN</t>
  </si>
  <si>
    <t>SPARE PART H 1745 H</t>
  </si>
  <si>
    <t>PELUNASAN SERVICE KUDA MAS 02/05/2023 | 001477 | CRV H 8174 T</t>
  </si>
  <si>
    <t>BELI BAN H 1745 H</t>
  </si>
  <si>
    <t>PELUNASAN SERVICE KUDA MAS 08/05/2023|001091|PANTHER H 1028 WR 11/05/2023|001105|PANTHER H 1745 H</t>
  </si>
  <si>
    <t>BUKU FOLIO</t>
  </si>
  <si>
    <t>GANTI KACA SPION</t>
  </si>
  <si>
    <t>KIER H 8366 CQ</t>
  </si>
  <si>
    <t>TOKEN PLN PRABAYAR 523030124422 APRIL 2023</t>
  </si>
  <si>
    <t>010.007-23.85809008</t>
  </si>
  <si>
    <t>010.007-23.85809149</t>
  </si>
  <si>
    <t>01/05/23 - 31/05/23</t>
  </si>
  <si>
    <t>F6282</t>
  </si>
  <si>
    <t>F6281</t>
  </si>
  <si>
    <t>F6277</t>
  </si>
  <si>
    <t>F6286</t>
  </si>
  <si>
    <t>F6285</t>
  </si>
  <si>
    <t>F6290</t>
  </si>
  <si>
    <t>0317084</t>
  </si>
  <si>
    <t>9551</t>
  </si>
  <si>
    <t>799063-BCA-TITIPAN KLIRING</t>
  </si>
  <si>
    <t>0078858</t>
  </si>
  <si>
    <t>Dari SCN SINAR CAHAYA NIRMALA</t>
  </si>
  <si>
    <t>F6294</t>
  </si>
  <si>
    <t>F6295</t>
  </si>
  <si>
    <t>F6298</t>
  </si>
  <si>
    <t>F6301</t>
  </si>
  <si>
    <t>F6306</t>
  </si>
  <si>
    <t>0714545</t>
  </si>
  <si>
    <t>TRF KR 014 SOEYANTO LOPOLUSI</t>
  </si>
  <si>
    <t>0317085</t>
  </si>
  <si>
    <t>0765129</t>
  </si>
  <si>
    <t>0746309</t>
  </si>
  <si>
    <t>0765586</t>
  </si>
  <si>
    <t>F6309</t>
  </si>
  <si>
    <t>F6335</t>
  </si>
  <si>
    <t>F6056</t>
  </si>
  <si>
    <t>PEMBAYARAN KE PT ATALI MAKMUR JAKARTA</t>
  </si>
  <si>
    <t>010.002-23.79582223</t>
  </si>
  <si>
    <t>010.002-23.79582231</t>
  </si>
  <si>
    <t>010.007-23.65682047</t>
  </si>
  <si>
    <t>010.007-23.65682088</t>
  </si>
  <si>
    <t>010.008-23.96759575</t>
  </si>
  <si>
    <t>010.008-23.96759844</t>
  </si>
  <si>
    <t>010.008-23.96759845</t>
  </si>
  <si>
    <t>010.008-23.96759846</t>
  </si>
  <si>
    <t>010.008-23.96760487</t>
  </si>
  <si>
    <t>010.008-23.96760488</t>
  </si>
  <si>
    <t>010.008-23.96760761</t>
  </si>
  <si>
    <t>010.008-23.96760762</t>
  </si>
  <si>
    <t>010.008-23.96760763</t>
  </si>
  <si>
    <t>010.008-23.96760764</t>
  </si>
  <si>
    <t>010.008-23.96760765</t>
  </si>
  <si>
    <t>010.008-23.96760801</t>
  </si>
  <si>
    <t>010.008-23.96760810</t>
  </si>
  <si>
    <t>010.008-23.96761294</t>
  </si>
  <si>
    <t>010.008-23.96761295</t>
  </si>
  <si>
    <t>010.008-23.96761324</t>
  </si>
  <si>
    <t>010.008-23.96761325</t>
  </si>
  <si>
    <t>010.008-23.96761479</t>
  </si>
  <si>
    <t>010.008-23.96761709</t>
  </si>
  <si>
    <t>010.008-23.96762172</t>
  </si>
  <si>
    <t>010.008-23.96762388</t>
  </si>
  <si>
    <t>010.008-23.96762389</t>
  </si>
  <si>
    <t>010.008-23.96762390</t>
  </si>
  <si>
    <t>010.008-23.96762702</t>
  </si>
  <si>
    <t>010.009-23.06252299</t>
  </si>
  <si>
    <t>SA230608838</t>
  </si>
  <si>
    <t>SA230608839</t>
  </si>
  <si>
    <t>SA230608840</t>
  </si>
  <si>
    <t>SA230609117</t>
  </si>
  <si>
    <t>SA230609245</t>
  </si>
  <si>
    <t>SA230609629</t>
  </si>
  <si>
    <t>SA230609630</t>
  </si>
  <si>
    <t>SA230609631</t>
  </si>
  <si>
    <t>23060007</t>
  </si>
  <si>
    <t>23060041</t>
  </si>
  <si>
    <t>23060092</t>
  </si>
  <si>
    <t>23060140</t>
  </si>
  <si>
    <t>23060161</t>
  </si>
  <si>
    <t>23060171</t>
  </si>
  <si>
    <t>23060300</t>
  </si>
  <si>
    <t>23060322</t>
  </si>
  <si>
    <t>23060486</t>
  </si>
  <si>
    <t>23060625</t>
  </si>
  <si>
    <t>23060738</t>
  </si>
  <si>
    <t>23060849</t>
  </si>
  <si>
    <t>23060957</t>
  </si>
  <si>
    <t>23060958</t>
  </si>
  <si>
    <t>L106004</t>
  </si>
  <si>
    <t>SN23061269</t>
  </si>
  <si>
    <t>KO 4156 4175</t>
  </si>
  <si>
    <t>ONGKOS SALES (G) 02-08 MEI 2023</t>
  </si>
  <si>
    <t>ONGKOS SALES (G) 09-12 MEI 2023</t>
  </si>
  <si>
    <t>ONGKOS SALES (G) 16-17 MEI 2023</t>
  </si>
  <si>
    <t>ONGKOS SALES (G) 22-27 MEI 2023</t>
  </si>
  <si>
    <t>ONGKOS SALES (N) NOV-DES 2022</t>
  </si>
  <si>
    <t>ONGKOS SALES (N) JAN-FEB 2023</t>
  </si>
  <si>
    <t>ONGKOS SALES (N) MARET 2023</t>
  </si>
  <si>
    <t>ONGKOS SALES (N) APRIL 2023</t>
  </si>
  <si>
    <t>KO 0950 2051 2052</t>
  </si>
  <si>
    <t>KO 2053 2054 2055</t>
  </si>
  <si>
    <t>23061251</t>
  </si>
  <si>
    <t>23061359</t>
  </si>
  <si>
    <t>23061485</t>
  </si>
  <si>
    <t>SA230609747</t>
  </si>
  <si>
    <t>SA230609748</t>
  </si>
  <si>
    <t>SA230609785</t>
  </si>
  <si>
    <t>SA230609786</t>
  </si>
  <si>
    <t>SA230609787</t>
  </si>
  <si>
    <t>SA230609788</t>
  </si>
  <si>
    <t>SA230609789</t>
  </si>
  <si>
    <t>SN23061356</t>
  </si>
  <si>
    <t>JUF237/23</t>
  </si>
  <si>
    <t>01.773.514.3-047.001</t>
  </si>
  <si>
    <t>L206020</t>
  </si>
  <si>
    <t>G 4061</t>
  </si>
  <si>
    <t>KO 4064</t>
  </si>
  <si>
    <t>KO 4302</t>
  </si>
  <si>
    <t>G 4040</t>
  </si>
  <si>
    <t>KO 4042</t>
  </si>
  <si>
    <t>KO 4063</t>
  </si>
  <si>
    <t>KO 4076</t>
  </si>
  <si>
    <t>KO 4050</t>
  </si>
  <si>
    <t>KO 4054</t>
  </si>
  <si>
    <t>KO 4068</t>
  </si>
  <si>
    <t>KO 4072</t>
  </si>
  <si>
    <t>G 4170</t>
  </si>
  <si>
    <t>KO 4176</t>
  </si>
  <si>
    <t>G 4086</t>
  </si>
  <si>
    <t>KO 4173</t>
  </si>
  <si>
    <t>KO 1016</t>
  </si>
  <si>
    <t>KO 1045</t>
  </si>
  <si>
    <t>KO 4100</t>
  </si>
  <si>
    <t>G 4093</t>
  </si>
  <si>
    <t>KO 4184</t>
  </si>
  <si>
    <t>KO 1048</t>
  </si>
  <si>
    <t>G 4205</t>
  </si>
  <si>
    <t>G 4209</t>
  </si>
  <si>
    <t>G 4210</t>
  </si>
  <si>
    <t>KO 1269</t>
  </si>
  <si>
    <t>KO 4217</t>
  </si>
  <si>
    <t>KO 4223</t>
  </si>
  <si>
    <t>KO 4224</t>
  </si>
  <si>
    <t>G 4235</t>
  </si>
  <si>
    <t>KO 4238</t>
  </si>
  <si>
    <t>KO 4236</t>
  </si>
  <si>
    <t>KO 4253</t>
  </si>
  <si>
    <t>KO 4258</t>
  </si>
  <si>
    <t>G 4036</t>
  </si>
  <si>
    <t>KO 4263</t>
  </si>
  <si>
    <t>KO 4401</t>
  </si>
  <si>
    <t>KO 1273</t>
  </si>
  <si>
    <t>KO 4403</t>
  </si>
  <si>
    <t>KO 4404</t>
  </si>
  <si>
    <t>G 4332</t>
  </si>
  <si>
    <t>KO 4503</t>
  </si>
  <si>
    <t>KO 4426</t>
  </si>
  <si>
    <t>G 4429</t>
  </si>
  <si>
    <t>KO 4442</t>
  </si>
  <si>
    <t>KO 4088</t>
  </si>
  <si>
    <t>KO 4447</t>
  </si>
  <si>
    <t>KO 4368</t>
  </si>
  <si>
    <t>KO 4274</t>
  </si>
  <si>
    <t>84.906.697.2-623.000</t>
  </si>
  <si>
    <t>CV LANCAR JAYA SENTOSA</t>
  </si>
  <si>
    <t>KO 4564</t>
  </si>
  <si>
    <t>KO 4451</t>
  </si>
  <si>
    <t>G 4372</t>
  </si>
  <si>
    <t>N 4376</t>
  </si>
  <si>
    <t>KO 4605</t>
  </si>
  <si>
    <t>KO 4384</t>
  </si>
  <si>
    <t>G 4385</t>
  </si>
  <si>
    <t>KO 4610</t>
  </si>
  <si>
    <t>G 4569</t>
  </si>
  <si>
    <t>KO 4570</t>
  </si>
  <si>
    <t>G 4621</t>
  </si>
  <si>
    <t>G 4620</t>
  </si>
  <si>
    <t>KO 4288</t>
  </si>
  <si>
    <t>G 4631</t>
  </si>
  <si>
    <t>14.241.150.3-629.000</t>
  </si>
  <si>
    <t>G 4574</t>
  </si>
  <si>
    <t>KO 4656</t>
  </si>
  <si>
    <t>G 4575</t>
  </si>
  <si>
    <t>G 4576</t>
  </si>
  <si>
    <t>KO 4577</t>
  </si>
  <si>
    <t>KO 4580</t>
  </si>
  <si>
    <t>N 4581</t>
  </si>
  <si>
    <t>KO 4296</t>
  </si>
  <si>
    <t>GUNAWAN HARTONO KUSUMA (TOKO NIKI SAE )</t>
  </si>
  <si>
    <t>G 4665</t>
  </si>
  <si>
    <t>G 4667</t>
  </si>
  <si>
    <t>KO 4669</t>
  </si>
  <si>
    <t>G 4594</t>
  </si>
  <si>
    <t>KO 4572</t>
  </si>
  <si>
    <t>KO 4593</t>
  </si>
  <si>
    <t>23061600</t>
  </si>
  <si>
    <t>23061628</t>
  </si>
  <si>
    <t>23061658</t>
  </si>
  <si>
    <t>SA230609920</t>
  </si>
  <si>
    <t>SA230610124</t>
  </si>
  <si>
    <t>SN23061372</t>
  </si>
  <si>
    <t>010.002-23.26042499</t>
  </si>
  <si>
    <t>010.002-23.26042581</t>
  </si>
  <si>
    <t>010.002-23.26042688</t>
  </si>
  <si>
    <t>010.002-23.26042789</t>
  </si>
  <si>
    <t>010.002-23.26042810</t>
  </si>
  <si>
    <t>010.002-23.26042820</t>
  </si>
  <si>
    <t>010.002-23.26042962</t>
  </si>
  <si>
    <t>010.002-23.26042984</t>
  </si>
  <si>
    <t>010.002-23.26043149</t>
  </si>
  <si>
    <t>010.002-23.26043288</t>
  </si>
  <si>
    <t>010.002-23.26043401</t>
  </si>
  <si>
    <t>010.002-23.26043512</t>
  </si>
  <si>
    <t>010.002-23.26043620</t>
  </si>
  <si>
    <t>010.002-23.26043621</t>
  </si>
  <si>
    <t>010.002-23.26043914</t>
  </si>
  <si>
    <t>KO 4768</t>
  </si>
  <si>
    <t>KO 4674</t>
  </si>
  <si>
    <t>010.002-23.26044022</t>
  </si>
  <si>
    <t>010.002-23.26044148</t>
  </si>
  <si>
    <t>010.002-23.26044263</t>
  </si>
  <si>
    <t>010.002-23.26044291</t>
  </si>
  <si>
    <t>G 4774</t>
  </si>
  <si>
    <t>GAJI KARYAWAN HARIAN TETAP (PERIODE 22 MEI -  03 JUNI 2023)</t>
  </si>
  <si>
    <t>UANG HADIR KARYAWAN MINGGUAN (PERIODE 29 MEI - 03 JUNI 2023)</t>
  </si>
  <si>
    <t>UANG HADIR KARYAWAN MINGGUAN (PERIODE 05 - 10 JUNI 2023)</t>
  </si>
  <si>
    <t>GAJI KARYAWAN HARIAN TETAP (PERIODE 05 - 17 JUNI 2023)</t>
  </si>
  <si>
    <t>UANG HADIR KARYAWAN MINGGUAN (PERIODE 12 - 17 JUNI 2023)</t>
  </si>
  <si>
    <t>UANG HADIR KARYAWAN MINGGUAN (PERIODE 19 - 24 JUNI 2023)</t>
  </si>
  <si>
    <t>23061931</t>
  </si>
  <si>
    <t>23061935</t>
  </si>
  <si>
    <t>23061949</t>
  </si>
  <si>
    <t>23062060</t>
  </si>
  <si>
    <t>SA230610245</t>
  </si>
  <si>
    <t>SA230610246</t>
  </si>
  <si>
    <t>SA230610247</t>
  </si>
  <si>
    <t>SA230610248</t>
  </si>
  <si>
    <t>SA230610249</t>
  </si>
  <si>
    <t>SA230610305</t>
  </si>
  <si>
    <t>SA230610330</t>
  </si>
  <si>
    <t>SA230610343</t>
  </si>
  <si>
    <t>SA230610384</t>
  </si>
  <si>
    <t>JL-54955</t>
  </si>
  <si>
    <t>010.007-23.85809159</t>
  </si>
  <si>
    <t>010.007-23.85809269</t>
  </si>
  <si>
    <t>G 4685</t>
  </si>
  <si>
    <t>G 4686</t>
  </si>
  <si>
    <t>KO 4806</t>
  </si>
  <si>
    <t>KO 4688</t>
  </si>
  <si>
    <t>KO 4691</t>
  </si>
  <si>
    <t>KO 4783</t>
  </si>
  <si>
    <t>G 4852</t>
  </si>
  <si>
    <t>23062181</t>
  </si>
  <si>
    <t>23062278</t>
  </si>
  <si>
    <t>23062329</t>
  </si>
  <si>
    <t>L306035</t>
  </si>
  <si>
    <t>SA230610453</t>
  </si>
  <si>
    <t>SA230610588</t>
  </si>
  <si>
    <t>SA230610671</t>
  </si>
  <si>
    <t>SA230610725</t>
  </si>
  <si>
    <t>KO 4787</t>
  </si>
  <si>
    <t>010.002-23.26044594</t>
  </si>
  <si>
    <t>010.002-23.26044321</t>
  </si>
  <si>
    <t>010.002-23.26044598</t>
  </si>
  <si>
    <t>010.002-23.26044612</t>
  </si>
  <si>
    <t>010.002-23.26044723</t>
  </si>
  <si>
    <t>010.002-23.26044844</t>
  </si>
  <si>
    <t>010.002-23.26044941</t>
  </si>
  <si>
    <t>010.002-23.26044992</t>
  </si>
  <si>
    <t>G 4795</t>
  </si>
  <si>
    <t>G 4854</t>
  </si>
  <si>
    <t>G 4718</t>
  </si>
  <si>
    <t>010.008-23.96762962</t>
  </si>
  <si>
    <t>010.008-23.96762963</t>
  </si>
  <si>
    <t>010.008-23.96762964</t>
  </si>
  <si>
    <t>010.008-23.96763838</t>
  </si>
  <si>
    <t>010.008-23.96764152</t>
  </si>
  <si>
    <t>010.008-23.96765519</t>
  </si>
  <si>
    <t>010.008-23.96765520</t>
  </si>
  <si>
    <t>010.008-23.96765521</t>
  </si>
  <si>
    <t>010.008-23.96765812</t>
  </si>
  <si>
    <t>010.008-23.96765813</t>
  </si>
  <si>
    <t>010.008-23.96766077</t>
  </si>
  <si>
    <t>010.008-23.96766078</t>
  </si>
  <si>
    <t>010.008-23.96766079</t>
  </si>
  <si>
    <t>010.008-23.96766080</t>
  </si>
  <si>
    <t>010.008-23.96766081</t>
  </si>
  <si>
    <t>010.008-23.16216285</t>
  </si>
  <si>
    <t>G 4545</t>
  </si>
  <si>
    <t>AYP</t>
  </si>
  <si>
    <t>N 4550</t>
  </si>
  <si>
    <t>KO 4279 4281 4284</t>
  </si>
  <si>
    <t>KO 4273 4283 4287</t>
  </si>
  <si>
    <t>KO 4290 4293 4294</t>
  </si>
  <si>
    <t>N 4542 4358</t>
  </si>
  <si>
    <t>G 4278 4359 4360</t>
  </si>
  <si>
    <t>A 4367</t>
  </si>
  <si>
    <t>N 4375</t>
  </si>
  <si>
    <t>N 4380</t>
  </si>
  <si>
    <t>G 4381</t>
  </si>
  <si>
    <t>010.010-23.05829843</t>
  </si>
  <si>
    <t>010.010-23.05829844</t>
  </si>
  <si>
    <t>010.010-23.05829845</t>
  </si>
  <si>
    <t>010.010-23.05829846</t>
  </si>
  <si>
    <t>010.010-23.05829847</t>
  </si>
  <si>
    <t>010.010-23.05829848</t>
  </si>
  <si>
    <t>010.010-23.05829849</t>
  </si>
  <si>
    <t>010.010-23.05829850</t>
  </si>
  <si>
    <t>010.010-23.05829851</t>
  </si>
  <si>
    <t>010.010-23.05829852</t>
  </si>
  <si>
    <t>010.010-23.05829853</t>
  </si>
  <si>
    <t>010.010-23.05829854</t>
  </si>
  <si>
    <t>010.010-23.05829855</t>
  </si>
  <si>
    <t>010.010-23.05829856</t>
  </si>
  <si>
    <t>010.010-23.05829857</t>
  </si>
  <si>
    <t>010.010-23.05829858</t>
  </si>
  <si>
    <t>010.010-23.05829859</t>
  </si>
  <si>
    <t>010.010-23.05829860</t>
  </si>
  <si>
    <t>010.010-23.05829861</t>
  </si>
  <si>
    <t>010.010-23.05829862</t>
  </si>
  <si>
    <t>010.010-23.05829863</t>
  </si>
  <si>
    <t>010.010-23.05829864</t>
  </si>
  <si>
    <t>010.010-23.05829865</t>
  </si>
  <si>
    <t>010.010-23.05829866</t>
  </si>
  <si>
    <t>010.010-23.05829867</t>
  </si>
  <si>
    <t>010.010-23.05829868</t>
  </si>
  <si>
    <t>010.010-23.05829870</t>
  </si>
  <si>
    <t>010.010-23.05829871</t>
  </si>
  <si>
    <t>010.010-23.05829872</t>
  </si>
  <si>
    <t>010.010-23.05829873</t>
  </si>
  <si>
    <t>010.010-23.05829874</t>
  </si>
  <si>
    <t>010.010-23.05829875</t>
  </si>
  <si>
    <t>010.010-23.05829876</t>
  </si>
  <si>
    <t>010.010-23.05829877</t>
  </si>
  <si>
    <t>010.010-23.05829878</t>
  </si>
  <si>
    <t>010.010-23.05829879</t>
  </si>
  <si>
    <t>010.010-23.05829880</t>
  </si>
  <si>
    <t>010.010-23.05829881</t>
  </si>
  <si>
    <t>010.010-23.05829882</t>
  </si>
  <si>
    <t>010.010-23.05829883</t>
  </si>
  <si>
    <t>010.010-23.05829884</t>
  </si>
  <si>
    <t>010.010-23.05829885</t>
  </si>
  <si>
    <t>010.010-23.05829886</t>
  </si>
  <si>
    <t>010.010-23.05829887</t>
  </si>
  <si>
    <t>010.010-23.05829888</t>
  </si>
  <si>
    <t>010.010-23.05829889</t>
  </si>
  <si>
    <t>010.010-23.05829890</t>
  </si>
  <si>
    <t>010.010-23.05829891</t>
  </si>
  <si>
    <t>010.010-23.05829892</t>
  </si>
  <si>
    <t>010.010-23.05829893</t>
  </si>
  <si>
    <t>010.010-23.05829894</t>
  </si>
  <si>
    <t>010.010-23.05829895</t>
  </si>
  <si>
    <t>010.010-23.05829896</t>
  </si>
  <si>
    <t>010.010-23.05829897</t>
  </si>
  <si>
    <t>010.010-23.05829898</t>
  </si>
  <si>
    <t>010.010-23.05829899</t>
  </si>
  <si>
    <t>010.010-23.05829900</t>
  </si>
  <si>
    <t>010.010-23.05829901</t>
  </si>
  <si>
    <t>010.010-23.05829902</t>
  </si>
  <si>
    <t>010.010-23.05829903</t>
  </si>
  <si>
    <t>010.010-23.05829904</t>
  </si>
  <si>
    <t>010.010-23.05829905</t>
  </si>
  <si>
    <t>010.010-23.05829906</t>
  </si>
  <si>
    <t>010.010-23.05829907</t>
  </si>
  <si>
    <t>010.010-23.05829908</t>
  </si>
  <si>
    <t>010.010-23.05829909</t>
  </si>
  <si>
    <t>010.010-23.05829910</t>
  </si>
  <si>
    <t>010.010-23.05829911</t>
  </si>
  <si>
    <t>010.010-23.05829912</t>
  </si>
  <si>
    <t>010.010-23.05829913</t>
  </si>
  <si>
    <t>010.010-23.05829914</t>
  </si>
  <si>
    <t>010.010-23.05829915</t>
  </si>
  <si>
    <t>010.010-23.05829916</t>
  </si>
  <si>
    <t>010.010-23.05829917</t>
  </si>
  <si>
    <t>010.010-23.05829918</t>
  </si>
  <si>
    <t>010.010-23.05829919</t>
  </si>
  <si>
    <t>010.010-23.05829920</t>
  </si>
  <si>
    <t>010.010-23.05829921</t>
  </si>
  <si>
    <t>010.010-23.05829922</t>
  </si>
  <si>
    <t>010.010-23.05829923</t>
  </si>
  <si>
    <t>010.010-23.05829924</t>
  </si>
  <si>
    <t>010.010-23.05829925</t>
  </si>
  <si>
    <t>010.010-23.05829926</t>
  </si>
  <si>
    <t>010.010-23.05829927</t>
  </si>
  <si>
    <t>010.010-23.05829928</t>
  </si>
  <si>
    <t>010.010-23.05829929</t>
  </si>
  <si>
    <t>010.010-23.05829930</t>
  </si>
  <si>
    <t>010.010-23.05829931</t>
  </si>
  <si>
    <t>010.010-23.05829932</t>
  </si>
  <si>
    <t>010.010-23.05829933</t>
  </si>
  <si>
    <t>010.010-23.05829934</t>
  </si>
  <si>
    <t>010.010-23.05829935</t>
  </si>
  <si>
    <t>010.010-23.05829936</t>
  </si>
  <si>
    <t>010.010-23.05829937</t>
  </si>
  <si>
    <t>010.010-23.05829938</t>
  </si>
  <si>
    <t>010.010-23.05829939</t>
  </si>
  <si>
    <t>010.010-23.05829940</t>
  </si>
  <si>
    <t>010.010-23.05829941</t>
  </si>
  <si>
    <t>010.010-23.05829942</t>
  </si>
  <si>
    <t>010.010-23.05829943</t>
  </si>
  <si>
    <t>010.010-23.05829944</t>
  </si>
  <si>
    <t>010.010-23.05829945</t>
  </si>
  <si>
    <t>010.010-23.05829946</t>
  </si>
  <si>
    <t>010.010-23.05829947</t>
  </si>
  <si>
    <t>010.010-23.05829948</t>
  </si>
  <si>
    <t>010.010-23.05829949</t>
  </si>
  <si>
    <t>010.010-23.05829950</t>
  </si>
  <si>
    <t>010.010-23.05829951</t>
  </si>
  <si>
    <t>010.010-23.05829952</t>
  </si>
  <si>
    <t>010.010-23.05829953</t>
  </si>
  <si>
    <t>010.010-23.05829954</t>
  </si>
  <si>
    <t>010.010-23.05829955</t>
  </si>
  <si>
    <t>010.010-23.05829956</t>
  </si>
  <si>
    <t>010.010-23.05829957</t>
  </si>
  <si>
    <t>010.010-23.05829958</t>
  </si>
  <si>
    <t>010.010-23.05829959</t>
  </si>
  <si>
    <t>010.010-23.05829960</t>
  </si>
  <si>
    <t>010.010-23.05829961</t>
  </si>
  <si>
    <t>010.010-23.05829962</t>
  </si>
  <si>
    <t>010.010-23.05829963</t>
  </si>
  <si>
    <t>010.010-23.05829964</t>
  </si>
  <si>
    <t>010.010-23.05829965</t>
  </si>
  <si>
    <t>010.010-23.05829966</t>
  </si>
  <si>
    <t>KO 4389 4291 4300</t>
  </si>
  <si>
    <t>G 4390</t>
  </si>
  <si>
    <t>ANDI STAR</t>
  </si>
  <si>
    <t>N 4546 4601</t>
  </si>
  <si>
    <t>RIA</t>
  </si>
  <si>
    <t>N 4607 4363</t>
  </si>
  <si>
    <t>KO 4608</t>
  </si>
  <si>
    <t>BIMA</t>
  </si>
  <si>
    <t>G 4612</t>
  </si>
  <si>
    <t>G 4613</t>
  </si>
  <si>
    <t>KO 4618</t>
  </si>
  <si>
    <t>MURNI SPORT</t>
  </si>
  <si>
    <t>AZIS</t>
  </si>
  <si>
    <t>KO 4624</t>
  </si>
  <si>
    <t>G 4626</t>
  </si>
  <si>
    <t>KO 4549 4627</t>
  </si>
  <si>
    <t>G 4614 4392</t>
  </si>
  <si>
    <t>G 4396</t>
  </si>
  <si>
    <t>KO 4379 4394 4397</t>
  </si>
  <si>
    <t>G 4398</t>
  </si>
  <si>
    <t>LANTIKYA</t>
  </si>
  <si>
    <t>G 4400</t>
  </si>
  <si>
    <t>ANEKA SERAGAM</t>
  </si>
  <si>
    <t xml:space="preserve">KO 4399 </t>
  </si>
  <si>
    <t>KO 4354</t>
  </si>
  <si>
    <t>SISWA 2</t>
  </si>
  <si>
    <t>IKA / ABC</t>
  </si>
  <si>
    <t>KO 4630</t>
  </si>
  <si>
    <t>G 4632</t>
  </si>
  <si>
    <t>N 4633</t>
  </si>
  <si>
    <t>KO 4635</t>
  </si>
  <si>
    <t>G 4636</t>
  </si>
  <si>
    <t>KO 4637</t>
  </si>
  <si>
    <t>N 4638</t>
  </si>
  <si>
    <t>A 4393 N 4643</t>
  </si>
  <si>
    <t>G 4646 4352</t>
  </si>
  <si>
    <t>G 4648</t>
  </si>
  <si>
    <t>BOBO</t>
  </si>
  <si>
    <t>KO 4649</t>
  </si>
  <si>
    <t>N 4650</t>
  </si>
  <si>
    <t>KO 4448 4378 4652</t>
  </si>
  <si>
    <t>KO 4651 4641 4657</t>
  </si>
  <si>
    <t>G 4659</t>
  </si>
  <si>
    <t>G 4660 4661</t>
  </si>
  <si>
    <t>PONDOK MODERN GONTOR</t>
  </si>
  <si>
    <t>NGAWI</t>
  </si>
  <si>
    <t>G 4625 4666</t>
  </si>
  <si>
    <t>G 4619 4668</t>
  </si>
  <si>
    <t>KO 4371 4655 4671</t>
  </si>
  <si>
    <t>KO 4280 4282 4672</t>
  </si>
  <si>
    <t>G 4277 4373 4673</t>
  </si>
  <si>
    <t>KO 4653 4647 4675</t>
  </si>
  <si>
    <t>G 4604 4654 4679</t>
  </si>
  <si>
    <t>KO 4680</t>
  </si>
  <si>
    <t>G 4387 4678 4682</t>
  </si>
  <si>
    <t>KO 4383 4617 4683</t>
  </si>
  <si>
    <t>G 4658 4684</t>
  </si>
  <si>
    <t>KO 4677 4356 4687</t>
  </si>
  <si>
    <t>KO 4645 4695</t>
  </si>
  <si>
    <t>KO 4275 4623 4697</t>
  </si>
  <si>
    <t>KO 4663 4676 4699</t>
  </si>
  <si>
    <t>KO 4616 4700</t>
  </si>
  <si>
    <t>G 4552</t>
  </si>
  <si>
    <t>G 4553</t>
  </si>
  <si>
    <t>N 4554</t>
  </si>
  <si>
    <t>N 4555</t>
  </si>
  <si>
    <t>G 4450 4558</t>
  </si>
  <si>
    <t>KO 4560 4664 4693</t>
  </si>
  <si>
    <t>KO 4556 4386 4698</t>
  </si>
  <si>
    <t>KO 4561 4644 4670</t>
  </si>
  <si>
    <t>N 4543 4573</t>
  </si>
  <si>
    <t>KO 4578</t>
  </si>
  <si>
    <t>N 4582</t>
  </si>
  <si>
    <t>TOP</t>
  </si>
  <si>
    <t>G 4583</t>
  </si>
  <si>
    <t>PUSPITA</t>
  </si>
  <si>
    <t>KARTOSURO</t>
  </si>
  <si>
    <t>N 4584</t>
  </si>
  <si>
    <t>G 4586 4662</t>
  </si>
  <si>
    <t>KO 4587 4689 4694</t>
  </si>
  <si>
    <t>KO 4602 4588</t>
  </si>
  <si>
    <t>KO 4370 4357 4592</t>
  </si>
  <si>
    <t>G 4628 4596</t>
  </si>
  <si>
    <t>KO 4449 4377 4599</t>
  </si>
  <si>
    <t>G 4559 4353 4600</t>
  </si>
  <si>
    <t>KO 4585 4751 4752</t>
  </si>
  <si>
    <t>KO 4753 4598 4696</t>
  </si>
  <si>
    <t>KO 4562 4590 4755</t>
  </si>
  <si>
    <t>G 4757 4351</t>
  </si>
  <si>
    <t>G 4760</t>
  </si>
  <si>
    <t>G 4761</t>
  </si>
  <si>
    <t>G 4369 4642 4762</t>
  </si>
  <si>
    <t>KO 4764</t>
  </si>
  <si>
    <t>A 4766</t>
  </si>
  <si>
    <t>A 4769</t>
  </si>
  <si>
    <t>G 4770</t>
  </si>
  <si>
    <t>G 4772</t>
  </si>
  <si>
    <t>A 4566 N 4773</t>
  </si>
  <si>
    <t>KO 4775</t>
  </si>
  <si>
    <t>KO 4609 4763 4776</t>
  </si>
  <si>
    <t>G 4622 4640 4777</t>
  </si>
  <si>
    <t>G 4779</t>
  </si>
  <si>
    <t>G 4780</t>
  </si>
  <si>
    <t>KO 4374 4781</t>
  </si>
  <si>
    <t>KO 4782</t>
  </si>
  <si>
    <t>A 4784</t>
  </si>
  <si>
    <t>KO 4565 4785</t>
  </si>
  <si>
    <t>G 4786</t>
  </si>
  <si>
    <t>PUKAT MAS</t>
  </si>
  <si>
    <t>AMBARAWA</t>
  </si>
  <si>
    <t>KO 4388 4634 4788</t>
  </si>
  <si>
    <t>G 4606 4789</t>
  </si>
  <si>
    <t>G 4790</t>
  </si>
  <si>
    <t>KO 4547 4548 4791 4792</t>
  </si>
  <si>
    <t>G 4794</t>
  </si>
  <si>
    <t>ARUM BARU 2</t>
  </si>
  <si>
    <t>N 4563 A 4796</t>
  </si>
  <si>
    <t>KO 4797</t>
  </si>
  <si>
    <t>KO 4611 4798</t>
  </si>
  <si>
    <t>KO 4799</t>
  </si>
  <si>
    <t>A 4800</t>
  </si>
  <si>
    <t>G 4361</t>
  </si>
  <si>
    <t>G 4362</t>
  </si>
  <si>
    <t>HAJI NASRUN</t>
  </si>
  <si>
    <t>G 4364</t>
  </si>
  <si>
    <t>G 4365</t>
  </si>
  <si>
    <t>G 4366</t>
  </si>
  <si>
    <t>G 4391</t>
  </si>
  <si>
    <t>AM 23060201</t>
  </si>
  <si>
    <t>AM 23060202</t>
  </si>
  <si>
    <t>AM 23060203</t>
  </si>
  <si>
    <t>AM 23060204</t>
  </si>
  <si>
    <t>AM 23060205</t>
  </si>
  <si>
    <t>AM 23060206</t>
  </si>
  <si>
    <t>AM 23060207</t>
  </si>
  <si>
    <t>AM 23060208</t>
  </si>
  <si>
    <t>AM 23060209</t>
  </si>
  <si>
    <t>AM 23060210</t>
  </si>
  <si>
    <t>AM 23060211</t>
  </si>
  <si>
    <t>AM 23060212</t>
  </si>
  <si>
    <t>AM 23060213</t>
  </si>
  <si>
    <t>AM 23060214</t>
  </si>
  <si>
    <t>AM 23060215</t>
  </si>
  <si>
    <t>AM 23060216</t>
  </si>
  <si>
    <t>KO 4289 4692 1285</t>
  </si>
  <si>
    <t>KO 1287</t>
  </si>
  <si>
    <t>KO 4106 4101 4102</t>
  </si>
  <si>
    <t>KO 4107 4103 4104</t>
  </si>
  <si>
    <t>KO 4108 4105</t>
  </si>
  <si>
    <t>KO 4452</t>
  </si>
  <si>
    <t>KO 4455 4456</t>
  </si>
  <si>
    <t>G 4551 4681 4701</t>
  </si>
  <si>
    <t>G 4702</t>
  </si>
  <si>
    <t>R G</t>
  </si>
  <si>
    <t>KO 4615 4703</t>
  </si>
  <si>
    <t>A 4704</t>
  </si>
  <si>
    <t>G 4705</t>
  </si>
  <si>
    <t>SINAR CEMERLANG</t>
  </si>
  <si>
    <t>KO 4706</t>
  </si>
  <si>
    <t>G 4707</t>
  </si>
  <si>
    <t>KO 4708</t>
  </si>
  <si>
    <t>KO 4595 4778 4709</t>
  </si>
  <si>
    <t>G 4710 4355</t>
  </si>
  <si>
    <t>G 4711</t>
  </si>
  <si>
    <t>G 4712</t>
  </si>
  <si>
    <t>G 4382 4568 4713</t>
  </si>
  <si>
    <t>KO 4639 4765 4714</t>
  </si>
  <si>
    <t>KO 4715</t>
  </si>
  <si>
    <t>A 4716</t>
  </si>
  <si>
    <t>G 4717</t>
  </si>
  <si>
    <t>G 4860</t>
  </si>
  <si>
    <t>KO 4285 4299 4802</t>
  </si>
  <si>
    <t>KO 4589 4292 4803</t>
  </si>
  <si>
    <t>KO 1284 4690 4804</t>
  </si>
  <si>
    <t>KO 4801 1289 4805</t>
  </si>
  <si>
    <t>KO 4756 4807</t>
  </si>
  <si>
    <t>KO 4591 4754 4808</t>
  </si>
  <si>
    <t>G 4557 4758 4810</t>
  </si>
  <si>
    <t>KO 4811 1286</t>
  </si>
  <si>
    <t>KO 4812 4813</t>
  </si>
  <si>
    <t>KO 4809 4814</t>
  </si>
  <si>
    <t>KO 4286 4295 4815</t>
  </si>
  <si>
    <t>KO 4597 4771 4851</t>
  </si>
  <si>
    <t>KO 4855</t>
  </si>
  <si>
    <t>KO 4759 4793 4856</t>
  </si>
  <si>
    <t>KO 4857</t>
  </si>
  <si>
    <t>JL-55123</t>
  </si>
  <si>
    <t>JL-55124</t>
  </si>
  <si>
    <t>JL-55125</t>
  </si>
  <si>
    <t>JL-55134</t>
  </si>
  <si>
    <t>JL-55137</t>
  </si>
  <si>
    <t>SA230610831</t>
  </si>
  <si>
    <t>SA230610832</t>
  </si>
  <si>
    <t>SA230610833</t>
  </si>
  <si>
    <t>SA230610834</t>
  </si>
  <si>
    <t>SA230610939</t>
  </si>
  <si>
    <t>G 4571 4579 4862</t>
  </si>
  <si>
    <t>G 4720 4863</t>
  </si>
  <si>
    <t>N 0449 0443 0444</t>
  </si>
  <si>
    <t>N 0450 0445 0446</t>
  </si>
  <si>
    <t>N 0151 0447 0448</t>
  </si>
  <si>
    <t>KO 919 901-905</t>
  </si>
  <si>
    <t>KO 920 906-910</t>
  </si>
  <si>
    <t>KO 921 911-915</t>
  </si>
  <si>
    <t>KO 992 916-918</t>
  </si>
  <si>
    <t>23070063</t>
  </si>
  <si>
    <t>23070111</t>
  </si>
  <si>
    <t>23070241</t>
  </si>
  <si>
    <t>23070242</t>
  </si>
  <si>
    <t>23070246</t>
  </si>
  <si>
    <t>23070366</t>
  </si>
  <si>
    <t>23070383</t>
  </si>
  <si>
    <t>SA230711032</t>
  </si>
  <si>
    <t>SA230711107</t>
  </si>
  <si>
    <t>SA230711160</t>
  </si>
  <si>
    <t>SA230711161</t>
  </si>
  <si>
    <t>SA230711218</t>
  </si>
  <si>
    <t>SA230711255</t>
  </si>
  <si>
    <t>SA230711292</t>
  </si>
  <si>
    <t>JL-55257</t>
  </si>
  <si>
    <t>SINV99-230700000067</t>
  </si>
  <si>
    <t>010.007-23.85809368</t>
  </si>
  <si>
    <t>KO 4816 4268</t>
  </si>
  <si>
    <t>JL-55372</t>
  </si>
  <si>
    <t>SA230711402</t>
  </si>
  <si>
    <t>SA230711537</t>
  </si>
  <si>
    <t>SA230711590</t>
  </si>
  <si>
    <t>SA230711611</t>
  </si>
  <si>
    <t>23070535</t>
  </si>
  <si>
    <t>23070709</t>
  </si>
  <si>
    <t>23070809</t>
  </si>
  <si>
    <t>23070865</t>
  </si>
  <si>
    <t>010.009-23.66254955</t>
  </si>
  <si>
    <t>010.009-23.66255123</t>
  </si>
  <si>
    <t>010.009-23.66255124</t>
  </si>
  <si>
    <t>010.009-23.66255125</t>
  </si>
  <si>
    <t>010.009-23.66255132</t>
  </si>
  <si>
    <t>010.009-23.66255134</t>
  </si>
  <si>
    <t>010.009-23.66255137</t>
  </si>
  <si>
    <t>010.009-23.66255140</t>
  </si>
  <si>
    <t>JL-55132</t>
  </si>
  <si>
    <t>JL-55140</t>
  </si>
  <si>
    <t>010.008-23.96766412</t>
  </si>
  <si>
    <t>010.008-23.96767093</t>
  </si>
  <si>
    <t>BELI ALAT KLEM</t>
  </si>
  <si>
    <t>PELUNASAN SERVICE KUDA MAS 26/05/2023|001191|TRAGA H 8385 AQ</t>
  </si>
  <si>
    <t>SERVIS + BELI BAN H 1745 H</t>
  </si>
  <si>
    <t xml:space="preserve">SOLAR H 8306 </t>
  </si>
  <si>
    <t>PERPANJANGAN STNK H 1887 UH</t>
  </si>
  <si>
    <t>ONGKOS SALES (G) 29-31 MEI 2023</t>
  </si>
  <si>
    <t>BELI ACCU H 1240 IH</t>
  </si>
  <si>
    <t>TISUE KANTOR</t>
  </si>
  <si>
    <t>ONGKOS SALES (G) 06-10 JUNI 2023</t>
  </si>
  <si>
    <t>ONGKOS SALES (G) 13-16 JUNI 2023</t>
  </si>
  <si>
    <t>ONGKOS SALES (G) 19-22 JUNI 2023</t>
  </si>
  <si>
    <t>ONGKOS SALES (G) 24-26 JUNI  2023</t>
  </si>
  <si>
    <t>010.008-23.96767393</t>
  </si>
  <si>
    <t>010.008-23.96767394</t>
  </si>
  <si>
    <t>010.008-23.96767395</t>
  </si>
  <si>
    <t>010.008-23.96767396</t>
  </si>
  <si>
    <t>010.008-23.96767397</t>
  </si>
  <si>
    <t>010.008-23.96767453</t>
  </si>
  <si>
    <t>010.008-23.96767670</t>
  </si>
  <si>
    <t>010.008-23.96767683</t>
  </si>
  <si>
    <t>010.008-23.96767724</t>
  </si>
  <si>
    <t>010.008-23.96768006</t>
  </si>
  <si>
    <t>010.008-23.96768360</t>
  </si>
  <si>
    <t>010.008-23.96768637</t>
  </si>
  <si>
    <t>010.008-23.96768691</t>
  </si>
  <si>
    <t>010.008-23.96769121</t>
  </si>
  <si>
    <t>010.008-23.96769122</t>
  </si>
  <si>
    <t>010.008-23.96769123</t>
  </si>
  <si>
    <t>010.008-23.96769124</t>
  </si>
  <si>
    <t>010.008-23.96769392</t>
  </si>
  <si>
    <t>010.007-23.65683154</t>
  </si>
  <si>
    <t>010.007-23.65683241</t>
  </si>
  <si>
    <t>010.007-23.65683432</t>
  </si>
  <si>
    <t>01/06/2023 - 30/06/2023</t>
  </si>
  <si>
    <t>0681902</t>
  </si>
  <si>
    <t>0559446</t>
  </si>
  <si>
    <t>LL G LO SOEYANTO LOPOLUSI</t>
  </si>
  <si>
    <t>PEMBAYARAN DARI CV LANCAR JAYA SENTOSA MALANG</t>
  </si>
  <si>
    <t>0317086</t>
  </si>
  <si>
    <t>F6075</t>
  </si>
  <si>
    <t>0317087</t>
  </si>
  <si>
    <t>0356308</t>
  </si>
  <si>
    <t>KO 4721</t>
  </si>
  <si>
    <t>G 4920</t>
  </si>
  <si>
    <t>KO 4928</t>
  </si>
  <si>
    <t>KO 4861</t>
  </si>
  <si>
    <t>KO 4731</t>
  </si>
  <si>
    <t>KO 4923</t>
  </si>
  <si>
    <t>G 4866</t>
  </si>
  <si>
    <t>KO 4871</t>
  </si>
  <si>
    <t>G 4944</t>
  </si>
  <si>
    <t>KO 4949</t>
  </si>
  <si>
    <t>G 4927</t>
  </si>
  <si>
    <t>KO 4823</t>
  </si>
  <si>
    <t>KO 4883</t>
  </si>
  <si>
    <t>KO 4888</t>
  </si>
  <si>
    <t>KO 4892</t>
  </si>
  <si>
    <t>G 4963</t>
  </si>
  <si>
    <t>KO 1295</t>
  </si>
  <si>
    <t>KO 4897</t>
  </si>
  <si>
    <t>KO 4899</t>
  </si>
  <si>
    <t>KO 4980</t>
  </si>
  <si>
    <t>KO 4817</t>
  </si>
  <si>
    <t>G 2359</t>
  </si>
  <si>
    <t>KO 2366</t>
  </si>
  <si>
    <t>G 4964</t>
  </si>
  <si>
    <t>KO 4993</t>
  </si>
  <si>
    <t>UANG HADIR KARYAWAN MINGGUAN (PERIODE 26 JUNI - 01 JULI 2023)</t>
  </si>
  <si>
    <t>GAJI KARYAWAN HARIAN TETAP (PERIODE 19 JUNI - 01 JULI 2023)</t>
  </si>
  <si>
    <t>UANG HADIR KARYAWAN MINGGUAN (PERIODE 03 - 08 JULI 2023)</t>
  </si>
  <si>
    <t>GAJI KARYAWAN HARIAN TETAP (PERIODE 03 - 15 JULI 2023)</t>
  </si>
  <si>
    <t>UANG HADIR KARYAWAN MINGGUAN (PERIODE 10 - 15 JULI 2023)</t>
  </si>
  <si>
    <t>UANG HADIR KARYAWAN MINGGUAN (PERIODE 17 - 22 JULI 2023)</t>
  </si>
  <si>
    <t>GAJI KARYAWAN HARIAN TETAP (PERIODE 17 - 29 JULI 2023)</t>
  </si>
  <si>
    <t>UANG HADIR KARYAWAN MINGGUAN (PERIODE 24 - 29 JULI 2023)</t>
  </si>
  <si>
    <t>010.008-23.48182480</t>
  </si>
  <si>
    <t>010.002-23.26045261</t>
  </si>
  <si>
    <t>010.002-23.26045353</t>
  </si>
  <si>
    <t>010.002-23.26045529</t>
  </si>
  <si>
    <t>010.002-23.26045530</t>
  </si>
  <si>
    <t>010.002-23.26045534</t>
  </si>
  <si>
    <t>010.002-23.26045654</t>
  </si>
  <si>
    <t>010.002-23.26045671</t>
  </si>
  <si>
    <t>010.002-23.26045823</t>
  </si>
  <si>
    <t>010.002-23.26045997</t>
  </si>
  <si>
    <t>010.002-23.26046097</t>
  </si>
  <si>
    <t>010.002-23.26046153</t>
  </si>
  <si>
    <t>010.002-23.26046318</t>
  </si>
  <si>
    <t>010.002-23.26046450</t>
  </si>
  <si>
    <t>010.002-23.26046461</t>
  </si>
  <si>
    <t>010.002-23.26046536</t>
  </si>
  <si>
    <t>010.002-23.26046643</t>
  </si>
  <si>
    <t>010.002-23.26046752</t>
  </si>
  <si>
    <t>010.008-23.48182672</t>
  </si>
  <si>
    <t>SINV99-230700000258</t>
  </si>
  <si>
    <t>010.008-23.48182673</t>
  </si>
  <si>
    <t>SINV99-230700000259</t>
  </si>
  <si>
    <t>23071030</t>
  </si>
  <si>
    <t>23071162</t>
  </si>
  <si>
    <t>23071173</t>
  </si>
  <si>
    <t>23071248</t>
  </si>
  <si>
    <t>23071355</t>
  </si>
  <si>
    <t>23071464</t>
  </si>
  <si>
    <t>23071686</t>
  </si>
  <si>
    <t>23071701</t>
  </si>
  <si>
    <t>SA230711666</t>
  </si>
  <si>
    <t>SA230711734</t>
  </si>
  <si>
    <t>SA230711735</t>
  </si>
  <si>
    <t>SA230711783</t>
  </si>
  <si>
    <t>SA230711837</t>
  </si>
  <si>
    <t>SA230711838</t>
  </si>
  <si>
    <t>SA230711914</t>
  </si>
  <si>
    <t>SA230711938</t>
  </si>
  <si>
    <t>SA230711970</t>
  </si>
  <si>
    <t>SA230712047</t>
  </si>
  <si>
    <t>SA230712048</t>
  </si>
  <si>
    <t>SA230712049</t>
  </si>
  <si>
    <t>SA230712050</t>
  </si>
  <si>
    <t>SA230712175</t>
  </si>
  <si>
    <t>SA230712212</t>
  </si>
  <si>
    <t>JUG430/23</t>
  </si>
  <si>
    <t>L207031</t>
  </si>
  <si>
    <t>005604</t>
  </si>
  <si>
    <t>010.007-23.85809524</t>
  </si>
  <si>
    <t>010.002-23.26046974</t>
  </si>
  <si>
    <t>010.002-23.26046989</t>
  </si>
  <si>
    <t>010.002-23.26047115</t>
  </si>
  <si>
    <t>010.002-23.26047275</t>
  </si>
  <si>
    <t>010.002-23.26047308</t>
  </si>
  <si>
    <t>G 2378</t>
  </si>
  <si>
    <t>KO 4835</t>
  </si>
  <si>
    <t>KO 2380</t>
  </si>
  <si>
    <t>KO 2388</t>
  </si>
  <si>
    <t>KO 4840</t>
  </si>
  <si>
    <t>G 2397</t>
  </si>
  <si>
    <t>G 2653</t>
  </si>
  <si>
    <t>KO 2655</t>
  </si>
  <si>
    <t>KO 2660</t>
  </si>
  <si>
    <t>G 1625</t>
  </si>
  <si>
    <t>80.148.130.0-619.000</t>
  </si>
  <si>
    <t>CV PARAMA CREATIVINDO</t>
  </si>
  <si>
    <t>TAMBAK SEGARAN WETAN NO.38 RT 006 RW 008, RANGKAH , KOTA SURABAYA</t>
  </si>
  <si>
    <t>010.009-23.69847990</t>
  </si>
  <si>
    <t>KO 2676</t>
  </si>
  <si>
    <t>G 2677</t>
  </si>
  <si>
    <t>KO 2682</t>
  </si>
  <si>
    <t>KO 1685</t>
  </si>
  <si>
    <t>KO 1632</t>
  </si>
  <si>
    <t>KO 1633</t>
  </si>
  <si>
    <t>23071827</t>
  </si>
  <si>
    <t>23071987</t>
  </si>
  <si>
    <t>23072020</t>
  </si>
  <si>
    <t>23072121</t>
  </si>
  <si>
    <t>23072393</t>
  </si>
  <si>
    <t>23072403</t>
  </si>
  <si>
    <t>SA230712527</t>
  </si>
  <si>
    <t>SA230712604</t>
  </si>
  <si>
    <t>SA230712676</t>
  </si>
  <si>
    <t>SA230712769</t>
  </si>
  <si>
    <t>SA230712770</t>
  </si>
  <si>
    <t>SA230712848</t>
  </si>
  <si>
    <t>SA230712897</t>
  </si>
  <si>
    <t>SA230712989</t>
  </si>
  <si>
    <t>CV-29 / UTN-018</t>
  </si>
  <si>
    <t>G 2686</t>
  </si>
  <si>
    <t>KEPALA GUDANG I</t>
  </si>
  <si>
    <t>010.009-23.69848055</t>
  </si>
  <si>
    <t>CV-39 / UTN-019</t>
  </si>
  <si>
    <t>010.009-23.69848067</t>
  </si>
  <si>
    <t>CV-48 / UTN-020</t>
  </si>
  <si>
    <t>010.002-23.26047409</t>
  </si>
  <si>
    <t>010.002-23.26047681</t>
  </si>
  <si>
    <t>010.002-23.26047691</t>
  </si>
  <si>
    <t>010.002-23.26047810</t>
  </si>
  <si>
    <t>KO 2379</t>
  </si>
  <si>
    <t>SA230713073</t>
  </si>
  <si>
    <t>SA230713095</t>
  </si>
  <si>
    <t>23072522</t>
  </si>
  <si>
    <t>KO 1816</t>
  </si>
  <si>
    <t>KO 1290 1291 1293</t>
  </si>
  <si>
    <t>KO 1296</t>
  </si>
  <si>
    <t>KO 1299</t>
  </si>
  <si>
    <t>SUKSES 1</t>
  </si>
  <si>
    <t>A 4910</t>
  </si>
  <si>
    <t>G 4724</t>
  </si>
  <si>
    <t>TALENTA</t>
  </si>
  <si>
    <t>G 4725</t>
  </si>
  <si>
    <t>SANTOSO</t>
  </si>
  <si>
    <t>G 4727</t>
  </si>
  <si>
    <t>G 4728</t>
  </si>
  <si>
    <t>KO 4925</t>
  </si>
  <si>
    <t>PELAJAR</t>
  </si>
  <si>
    <t>KO 4916 4917 4932</t>
  </si>
  <si>
    <t>KO 4907 4915 4732</t>
  </si>
  <si>
    <t>KO 4733</t>
  </si>
  <si>
    <t>KO 4935</t>
  </si>
  <si>
    <t>KO 4938 4939</t>
  </si>
  <si>
    <t>KO 4908 4929 4940</t>
  </si>
  <si>
    <t>A 4941</t>
  </si>
  <si>
    <t>G 4943</t>
  </si>
  <si>
    <t>G 4945</t>
  </si>
  <si>
    <t>N/A 4901 2601 4950</t>
  </si>
  <si>
    <t>A 4726 4913 4870</t>
  </si>
  <si>
    <t>G 4872</t>
  </si>
  <si>
    <t>KO 4904 4947 4877</t>
  </si>
  <si>
    <t>G 4736</t>
  </si>
  <si>
    <t>G 4737</t>
  </si>
  <si>
    <t>G 4739</t>
  </si>
  <si>
    <t>G 4922 4869 4741</t>
  </si>
  <si>
    <t>KO 4946 4880 4884</t>
  </si>
  <si>
    <t>G 4957</t>
  </si>
  <si>
    <t>G 4958</t>
  </si>
  <si>
    <t>KO 4959 2192</t>
  </si>
  <si>
    <t>KO 4967</t>
  </si>
  <si>
    <t>KO 4969</t>
  </si>
  <si>
    <t>KO 4885</t>
  </si>
  <si>
    <t>KO 4867 2197 4887</t>
  </si>
  <si>
    <t>KO 4911 4966 4889</t>
  </si>
  <si>
    <t>G 4723 4890</t>
  </si>
  <si>
    <t>G 4918 4819</t>
  </si>
  <si>
    <t>KO 4820 4822 1294</t>
  </si>
  <si>
    <t>KO 4818 1297 4825</t>
  </si>
  <si>
    <t>KO 4930 4876 4893</t>
  </si>
  <si>
    <t>G 4954 4900</t>
  </si>
  <si>
    <t>G 4742</t>
  </si>
  <si>
    <t>G 4926 4873 4970</t>
  </si>
  <si>
    <t>A 4971</t>
  </si>
  <si>
    <t>A 4745</t>
  </si>
  <si>
    <t>DELIANA</t>
  </si>
  <si>
    <t>A 4747</t>
  </si>
  <si>
    <t>YDW</t>
  </si>
  <si>
    <t>A 4749</t>
  </si>
  <si>
    <t>KO 4942 4824 4828</t>
  </si>
  <si>
    <t>A 4729 4960 4976</t>
  </si>
  <si>
    <t>KO 4934</t>
  </si>
  <si>
    <t>KO 4931 4952 2351</t>
  </si>
  <si>
    <t>KO 4879 4896 2352</t>
  </si>
  <si>
    <t>KO 4874 4973 2354</t>
  </si>
  <si>
    <t>KO 4933 2278 2355</t>
  </si>
  <si>
    <t>KO 4948 4968 2356</t>
  </si>
  <si>
    <t>KO 4909 4738 2357</t>
  </si>
  <si>
    <t>G 4979</t>
  </si>
  <si>
    <t>G 4905 4982 4983</t>
  </si>
  <si>
    <t>A 4984</t>
  </si>
  <si>
    <t>G 4821 4886 4985</t>
  </si>
  <si>
    <t>SA230713224</t>
  </si>
  <si>
    <t>SA230713282</t>
  </si>
  <si>
    <t>SA230713352</t>
  </si>
  <si>
    <t>A 4978 2363</t>
  </si>
  <si>
    <t>A 4955 4744 2364</t>
  </si>
  <si>
    <t>KO 4974 4977 4991</t>
  </si>
  <si>
    <t>KO 4953 4961 4992</t>
  </si>
  <si>
    <t>G 4740 4997</t>
  </si>
  <si>
    <t>KO 4914 4924 2369</t>
  </si>
  <si>
    <t>G 4965 2377</t>
  </si>
  <si>
    <t>KO 4829 4832 4833</t>
  </si>
  <si>
    <t>KO 1286 4878 4837</t>
  </si>
  <si>
    <t>KO 4996 2373 2385</t>
  </si>
  <si>
    <t>KO 4951 2386</t>
  </si>
  <si>
    <t>KO 4912 2361 2387</t>
  </si>
  <si>
    <t>KO 4986 4998 2390</t>
  </si>
  <si>
    <t>G 2365 2374 2391</t>
  </si>
  <si>
    <t>KO 2393</t>
  </si>
  <si>
    <t>A 4891 2368 2395</t>
  </si>
  <si>
    <t>A 4748 2396</t>
  </si>
  <si>
    <t>G 2376 2382 2400</t>
  </si>
  <si>
    <t>AM-23070030</t>
  </si>
  <si>
    <t>KO 1298 4834 4841</t>
  </si>
  <si>
    <t>SA230713405</t>
  </si>
  <si>
    <t>SA230713430</t>
  </si>
  <si>
    <t>KO 4975 2353 2219</t>
  </si>
  <si>
    <t>KO 4830 4836 2651</t>
  </si>
  <si>
    <t>G 4875 4881 2657</t>
  </si>
  <si>
    <t>KO 4995 2384 2658</t>
  </si>
  <si>
    <t>KO 2372 2661</t>
  </si>
  <si>
    <t>A 4903 4962 2662</t>
  </si>
  <si>
    <t>G 2652 2663</t>
  </si>
  <si>
    <t>G 4921 4894 2665</t>
  </si>
  <si>
    <t>G 2667</t>
  </si>
  <si>
    <t>KO 2370 2381 2675</t>
  </si>
  <si>
    <t>KO 4898 2371 2679</t>
  </si>
  <si>
    <t>A 2394 2666 2680</t>
  </si>
  <si>
    <t>G 2358 2367 2681</t>
  </si>
  <si>
    <t>A 2684</t>
  </si>
  <si>
    <t>TOP / ABC</t>
  </si>
  <si>
    <t>G 4987 2392 2685</t>
  </si>
  <si>
    <t>G 4750 4989 1601</t>
  </si>
  <si>
    <t>A 1602 2664</t>
  </si>
  <si>
    <t>G 4882 1604</t>
  </si>
  <si>
    <t>G 4919 4999 1606</t>
  </si>
  <si>
    <t>G 1607 1608</t>
  </si>
  <si>
    <t>G 4743 1610</t>
  </si>
  <si>
    <t>G 1612</t>
  </si>
  <si>
    <t>G 1613 1614</t>
  </si>
  <si>
    <t>A 1615</t>
  </si>
  <si>
    <t>ZIDANE</t>
  </si>
  <si>
    <t>WONOGIRI</t>
  </si>
  <si>
    <t>G 1616</t>
  </si>
  <si>
    <t>G 1618</t>
  </si>
  <si>
    <t>LENTERA</t>
  </si>
  <si>
    <t>KO 1620</t>
  </si>
  <si>
    <t>AM 23070201</t>
  </si>
  <si>
    <t>AM 23070202</t>
  </si>
  <si>
    <t>AM 23070203</t>
  </si>
  <si>
    <t>AM 23070204</t>
  </si>
  <si>
    <t>AM 23070205</t>
  </si>
  <si>
    <t>AM 23070206</t>
  </si>
  <si>
    <t>AM 23070207</t>
  </si>
  <si>
    <t>AM 23070208</t>
  </si>
  <si>
    <t>AM 23070209</t>
  </si>
  <si>
    <t>AM 23070210</t>
  </si>
  <si>
    <t>AM 23070211</t>
  </si>
  <si>
    <t>AM 23070212</t>
  </si>
  <si>
    <t>AM 23070213</t>
  </si>
  <si>
    <t>AM 23070214</t>
  </si>
  <si>
    <t>AM 23070215</t>
  </si>
  <si>
    <t>AM 23070216</t>
  </si>
  <si>
    <t>AM 23070217</t>
  </si>
  <si>
    <t>AM 23070218</t>
  </si>
  <si>
    <t>AM 23070219</t>
  </si>
  <si>
    <t>AM 23070220</t>
  </si>
  <si>
    <t>AM 23070221</t>
  </si>
  <si>
    <t>AM 23070222</t>
  </si>
  <si>
    <t>AM 23070223</t>
  </si>
  <si>
    <t>AM 23070224</t>
  </si>
  <si>
    <t>AM 23070225</t>
  </si>
  <si>
    <t>AM 23070226</t>
  </si>
  <si>
    <t>AM 23070227</t>
  </si>
  <si>
    <t>AM 23070228</t>
  </si>
  <si>
    <t>AM 23070229</t>
  </si>
  <si>
    <t>AM 23070230</t>
  </si>
  <si>
    <t>A 4730 5000 1623</t>
  </si>
  <si>
    <t>KO 4735 1624</t>
  </si>
  <si>
    <t>G 1603 2672 1626</t>
  </si>
  <si>
    <t>G 4746 1627</t>
  </si>
  <si>
    <t>A 4936 1628</t>
  </si>
  <si>
    <t>G 1629</t>
  </si>
  <si>
    <t>G 2683 2687 1631</t>
  </si>
  <si>
    <t>A 1634</t>
  </si>
  <si>
    <t>KO 1801</t>
  </si>
  <si>
    <t>KO 2656 1803</t>
  </si>
  <si>
    <t>A 4864 1804</t>
  </si>
  <si>
    <t>KO 1805</t>
  </si>
  <si>
    <t>KO 2671 2689 1808</t>
  </si>
  <si>
    <t>KO 1809</t>
  </si>
  <si>
    <t>KO 4988 1619 1810</t>
  </si>
  <si>
    <t>G 1811</t>
  </si>
  <si>
    <t>A 4994 2673 1812</t>
  </si>
  <si>
    <t>A 2668 1802 1815</t>
  </si>
  <si>
    <t>A 1817 1820</t>
  </si>
  <si>
    <t>KO 1651 1806</t>
  </si>
  <si>
    <t>KO 4868 4972 1652</t>
  </si>
  <si>
    <t>A 1653 2669 1813</t>
  </si>
  <si>
    <t>A 1654</t>
  </si>
  <si>
    <t>KO 1655 2389 2398</t>
  </si>
  <si>
    <t>A 2362 1656</t>
  </si>
  <si>
    <t>KO 1657 2399 2674</t>
  </si>
  <si>
    <t>KO 1659 2654</t>
  </si>
  <si>
    <t>A 1662 1617</t>
  </si>
  <si>
    <t>A 1663</t>
  </si>
  <si>
    <t>KO 1660 1664</t>
  </si>
  <si>
    <t>KO 4895 2670 1665</t>
  </si>
  <si>
    <t>G 1611 1666</t>
  </si>
  <si>
    <t>A 1667</t>
  </si>
  <si>
    <t>EMY</t>
  </si>
  <si>
    <t>A 1668</t>
  </si>
  <si>
    <t>KO 1669</t>
  </si>
  <si>
    <t>A 1671</t>
  </si>
  <si>
    <t>KO 1609 1672</t>
  </si>
  <si>
    <t>G 1673</t>
  </si>
  <si>
    <t>PUTRA MALA JAYA</t>
  </si>
  <si>
    <t>KO 1674</t>
  </si>
  <si>
    <t>KO 1622 1807 1676</t>
  </si>
  <si>
    <t>KO 1677</t>
  </si>
  <si>
    <t>KO 4902 1678</t>
  </si>
  <si>
    <t>KO 4956 4990 1679</t>
  </si>
  <si>
    <t>A 1680</t>
  </si>
  <si>
    <t>GLOBAL</t>
  </si>
  <si>
    <t>KO 1658 1681</t>
  </si>
  <si>
    <t>KO 1682 1683 1818</t>
  </si>
  <si>
    <t>KO 1684</t>
  </si>
  <si>
    <t>A 1686</t>
  </si>
  <si>
    <t>KO 4937 4981 1687</t>
  </si>
  <si>
    <t>KO 4722 1688</t>
  </si>
  <si>
    <t>A 1689</t>
  </si>
  <si>
    <t>G 1690</t>
  </si>
  <si>
    <t>KO 4906 2688 1693</t>
  </si>
  <si>
    <t>G 4734 2375 1694</t>
  </si>
  <si>
    <t>G 2046 1695</t>
  </si>
  <si>
    <t>KO 1670 1696</t>
  </si>
  <si>
    <t>KO 2678 1691 1697</t>
  </si>
  <si>
    <t>KO 1698</t>
  </si>
  <si>
    <t>KO 1692 1699</t>
  </si>
  <si>
    <t>KO 1700</t>
  </si>
  <si>
    <t>KO 2659 1621</t>
  </si>
  <si>
    <t>KO 4110 4111 4112</t>
  </si>
  <si>
    <t>010.008-23.16217151</t>
  </si>
  <si>
    <t>010.008-23.96769648</t>
  </si>
  <si>
    <t>010.008-23.96769866</t>
  </si>
  <si>
    <t>010.008-23.96770038</t>
  </si>
  <si>
    <t>010.008-23.96770039</t>
  </si>
  <si>
    <t>010.008-23.96770096</t>
  </si>
  <si>
    <t>010.008-23.96770320</t>
  </si>
  <si>
    <t>010.008-23.96770357</t>
  </si>
  <si>
    <t>010.008-23.96770671</t>
  </si>
  <si>
    <t>010.008-23.96771055</t>
  </si>
  <si>
    <t>010.008-23.96771108</t>
  </si>
  <si>
    <t>010.008-23.96771129</t>
  </si>
  <si>
    <t>010.008-23.96771429</t>
  </si>
  <si>
    <t>010.008-23.96771733</t>
  </si>
  <si>
    <t>010.008-23.96771734</t>
  </si>
  <si>
    <t>010.008-23.96771782</t>
  </si>
  <si>
    <t>010.008-23.96772063</t>
  </si>
  <si>
    <t>010.008-23.96772064</t>
  </si>
  <si>
    <t>010.008-23.96772140</t>
  </si>
  <si>
    <t>010.008-23.96772362</t>
  </si>
  <si>
    <t>010.008-23.96772394</t>
  </si>
  <si>
    <t>010.008-23.96772683</t>
  </si>
  <si>
    <t>010.008-23.96772684</t>
  </si>
  <si>
    <t>010.008-23.96772685</t>
  </si>
  <si>
    <t>010.008-23.96772686</t>
  </si>
  <si>
    <t>010.008-23.96773086</t>
  </si>
  <si>
    <t>010.008-23.96773123</t>
  </si>
  <si>
    <t>KO 4115</t>
  </si>
  <si>
    <t>KO 4113 4114</t>
  </si>
  <si>
    <t>010.008-23.96774037</t>
  </si>
  <si>
    <t>010.008-23.96774373</t>
  </si>
  <si>
    <t>010.008-23.96774445</t>
  </si>
  <si>
    <t>010.008-23.96774766</t>
  </si>
  <si>
    <t>010.008-23.96774767</t>
  </si>
  <si>
    <t>010.008-23.96774845</t>
  </si>
  <si>
    <t>010.008-23.96775102</t>
  </si>
  <si>
    <t>010.008-23.96775360</t>
  </si>
  <si>
    <t>010.008-23.96775626</t>
  </si>
  <si>
    <t>010.008-23.96775648</t>
  </si>
  <si>
    <t>010.008-23.96776135</t>
  </si>
  <si>
    <t>010.008-23.96776385</t>
  </si>
  <si>
    <t>010.008-23.96776592</t>
  </si>
  <si>
    <t>010.008-23.96776802</t>
  </si>
  <si>
    <t>010.008-23.96776827</t>
  </si>
  <si>
    <t>010.009-23.64526769</t>
  </si>
  <si>
    <t>010.009-23.66255257</t>
  </si>
  <si>
    <t>010.009-23.66255372</t>
  </si>
  <si>
    <t>KO 4826 4842</t>
  </si>
  <si>
    <t>N 0152 - 0155</t>
  </si>
  <si>
    <t>N 0156 - 0161</t>
  </si>
  <si>
    <t>KO</t>
  </si>
  <si>
    <t>HANSA</t>
  </si>
  <si>
    <t>UTN</t>
  </si>
  <si>
    <t>BPJS BADAN USAHA JUNI 2023</t>
  </si>
  <si>
    <t>BPJS BADAN USAHA MEI 2023</t>
  </si>
  <si>
    <t>BPJS BADAN USAHA JULI 2023</t>
  </si>
  <si>
    <t>KO 1822</t>
  </si>
  <si>
    <t>G 2692</t>
  </si>
  <si>
    <t>KO 1825</t>
  </si>
  <si>
    <t>KO 1829</t>
  </si>
  <si>
    <t>G 3001</t>
  </si>
  <si>
    <t>KO 1840</t>
  </si>
  <si>
    <t>KO 1566</t>
  </si>
  <si>
    <t>G 1649</t>
  </si>
  <si>
    <t>G 1916</t>
  </si>
  <si>
    <t>KO 1921</t>
  </si>
  <si>
    <t>G 1923</t>
  </si>
  <si>
    <t>G 1926</t>
  </si>
  <si>
    <t>G 1927</t>
  </si>
  <si>
    <t>KO 1574</t>
  </si>
  <si>
    <t>KO 3008</t>
  </si>
  <si>
    <t>A 1930</t>
  </si>
  <si>
    <t>G 1932</t>
  </si>
  <si>
    <t>KO 1300</t>
  </si>
  <si>
    <t>G 3022</t>
  </si>
  <si>
    <t>G 3036</t>
  </si>
  <si>
    <t>KO 3033</t>
  </si>
  <si>
    <t>KO 3035</t>
  </si>
  <si>
    <t>KO 3047</t>
  </si>
  <si>
    <t>G 3502</t>
  </si>
  <si>
    <t>KO 1585</t>
  </si>
  <si>
    <t>KO 3516</t>
  </si>
  <si>
    <t>KO 3520</t>
  </si>
  <si>
    <t>SERVICE GANTI OLI H 8308 HA</t>
  </si>
  <si>
    <t>KIER H 1887 UH</t>
  </si>
  <si>
    <t>KB-KB ANGKUTAN PAKET + BUKA PALANG</t>
  </si>
  <si>
    <t>SERVICE POWER STEERING H 1240 IH</t>
  </si>
  <si>
    <t>OBAT P3K</t>
  </si>
  <si>
    <t>PERBAIKAN LIFT BARANG</t>
  </si>
  <si>
    <t>PERPANJANGAN STNK H 1745 H</t>
  </si>
  <si>
    <t>SERVICE CCTV</t>
  </si>
  <si>
    <t>ONGKOS SALES (N) MEI 2023</t>
  </si>
  <si>
    <t>ONGKOS SALES (N) JUNI 2023</t>
  </si>
  <si>
    <t>ONGKOS SALES (A) 11 - 14 JULI 2023</t>
  </si>
  <si>
    <t>ONGKOS SALES (A) 17 - 22 JULI 2023</t>
  </si>
  <si>
    <t>ONGKOS SALES (A) 25 - 28 JULI 2023</t>
  </si>
  <si>
    <t>01/07/23 - 31/07/23</t>
  </si>
  <si>
    <t>0031722</t>
  </si>
  <si>
    <t>799070-BCA-TITIPAN KLIRING</t>
  </si>
  <si>
    <t>799071-BCA-TITIPAN KLIRING</t>
  </si>
  <si>
    <t>0412897</t>
  </si>
  <si>
    <t>Nota 30/03/23 Tk. Armada Pwt CICILIA LILY</t>
  </si>
  <si>
    <t>0435529</t>
  </si>
  <si>
    <t>799072-BCA-TITIPAN KLIRING</t>
  </si>
  <si>
    <t>0827064</t>
  </si>
  <si>
    <t>0702836</t>
  </si>
  <si>
    <t>0030572</t>
  </si>
  <si>
    <t>0624990</t>
  </si>
  <si>
    <t>0642307</t>
  </si>
  <si>
    <t>F6116</t>
  </si>
  <si>
    <t>0615314</t>
  </si>
  <si>
    <t>0012489</t>
  </si>
  <si>
    <t>0572192</t>
  </si>
  <si>
    <t>650191-BCA-TITIPAN KLIRING</t>
  </si>
  <si>
    <t>0317088</t>
  </si>
  <si>
    <t>TRANSFER DANA PULAU ATEKA NUSANTARA CV</t>
  </si>
  <si>
    <t>650192-BCA-TITIPAN KLIRING</t>
  </si>
  <si>
    <t>PEMBAYARAN DARI CV PULAU ATEKA NUSANTARA SURABAYA</t>
  </si>
  <si>
    <t>Nota 08/05/23 Tk. Armada Pwt CICILIA LILY</t>
  </si>
  <si>
    <t>KO 3572</t>
  </si>
  <si>
    <t>UANG HADIR KARYAWAN MINGGUAN (PERIODE 31 JULI - 05 AGUSTUS 2023)</t>
  </si>
  <si>
    <t>GAJI KARYAWAN HARIAN TETAP (PERIODE 29 JULI - 12 AGUSTUS 2023)</t>
  </si>
  <si>
    <t>UANG HADIR KARYAWAN MINGGUAN (PERIODE 07 - 12 AGUSTUS 2023)</t>
  </si>
  <si>
    <t>UANG HADIR KARYAWAN MINGGUAN (PERIODE 14 - 19 AGUSTUS 2023)</t>
  </si>
  <si>
    <t>GAJI KARYAWAN HARIAN TETAP (PERIODE 14 - 26 AGUSTUS 2023)</t>
  </si>
  <si>
    <t>UANG HADIR KARYAWAN MINGGUAN (PERIODE 21 - 26 AGUSTUS 2023)</t>
  </si>
  <si>
    <t>BPJS BADAN USAHA AGUSTUS 2023</t>
  </si>
  <si>
    <t>G 3589</t>
  </si>
  <si>
    <t>KELUAR</t>
  </si>
  <si>
    <t>005629</t>
  </si>
  <si>
    <t>23080038</t>
  </si>
  <si>
    <t>23080040</t>
  </si>
  <si>
    <t>23080102</t>
  </si>
  <si>
    <t>23080130</t>
  </si>
  <si>
    <t>23080442</t>
  </si>
  <si>
    <t>23080532</t>
  </si>
  <si>
    <t>23080664</t>
  </si>
  <si>
    <t>23080749</t>
  </si>
  <si>
    <t>23081027</t>
  </si>
  <si>
    <t>23081127</t>
  </si>
  <si>
    <t>23081133</t>
  </si>
  <si>
    <t>23081158</t>
  </si>
  <si>
    <t>23081242</t>
  </si>
  <si>
    <t>23081430</t>
  </si>
  <si>
    <t>23081566</t>
  </si>
  <si>
    <t>23081572</t>
  </si>
  <si>
    <t>23081732</t>
  </si>
  <si>
    <t>23081896</t>
  </si>
  <si>
    <t>HMP/046/08/23</t>
  </si>
  <si>
    <t>PT RAPINAN BROTHER</t>
  </si>
  <si>
    <t>SA230813538</t>
  </si>
  <si>
    <t>SA230813845</t>
  </si>
  <si>
    <t>SA230813874</t>
  </si>
  <si>
    <t>SA230813998</t>
  </si>
  <si>
    <t>SA230814291</t>
  </si>
  <si>
    <t>SA230814354</t>
  </si>
  <si>
    <t>SA230814355</t>
  </si>
  <si>
    <t>SA230814356</t>
  </si>
  <si>
    <t>SA230814430</t>
  </si>
  <si>
    <t>SA230814500</t>
  </si>
  <si>
    <t>SA230814501</t>
  </si>
  <si>
    <t>SA230814558</t>
  </si>
  <si>
    <t>SA230814559</t>
  </si>
  <si>
    <t>SA230814591</t>
  </si>
  <si>
    <t>SA230814760</t>
  </si>
  <si>
    <t>SA230814789</t>
  </si>
  <si>
    <t>SA230814792</t>
  </si>
  <si>
    <t>SA230814874</t>
  </si>
  <si>
    <t>SA230814951</t>
  </si>
  <si>
    <t>SA230814952</t>
  </si>
  <si>
    <t>SA230814969</t>
  </si>
  <si>
    <t>SA230815009</t>
  </si>
  <si>
    <t>SN23081822</t>
  </si>
  <si>
    <t>SN23081847</t>
  </si>
  <si>
    <t>KO 3591</t>
  </si>
  <si>
    <t>KO 3599</t>
  </si>
  <si>
    <t>DELIK RT. 006 RW. 001 WRINGIN JAJAR, MRANGGEN, DEMAK</t>
  </si>
  <si>
    <t>3321010103830006</t>
  </si>
  <si>
    <t>KO 3605</t>
  </si>
  <si>
    <t>KO 3615</t>
  </si>
  <si>
    <t>KO 1591</t>
  </si>
  <si>
    <t>03.281.005.3-041.000</t>
  </si>
  <si>
    <t>KOMPLEK SOKA I BLOK F/7 JL. TERUSAN BANDENGAN UTARA 95 , JAKARTA UTARA</t>
  </si>
  <si>
    <t>KO 3626</t>
  </si>
  <si>
    <t>010.009-23.64526794</t>
  </si>
  <si>
    <t>010.010-23.37795276</t>
  </si>
  <si>
    <t>CV-21 / UTN-021</t>
  </si>
  <si>
    <t>010.010-23.33241535</t>
  </si>
  <si>
    <t>KO 3606</t>
  </si>
  <si>
    <t>KO 3620</t>
  </si>
  <si>
    <t>KO 3046</t>
  </si>
  <si>
    <t>KO 1990</t>
  </si>
  <si>
    <t>005644</t>
  </si>
  <si>
    <t>SA230815175</t>
  </si>
  <si>
    <t>SA230815246</t>
  </si>
  <si>
    <t>SA230815312</t>
  </si>
  <si>
    <t>SA230815350</t>
  </si>
  <si>
    <t>SA230815436</t>
  </si>
  <si>
    <t>SA230815469</t>
  </si>
  <si>
    <t>23082202</t>
  </si>
  <si>
    <t>23082282</t>
  </si>
  <si>
    <t>23082308</t>
  </si>
  <si>
    <t>010.008-23.16217964</t>
  </si>
  <si>
    <t>010.008-23.16217965</t>
  </si>
  <si>
    <t>010.008-23.96777087</t>
  </si>
  <si>
    <t>010.008-23.96777631</t>
  </si>
  <si>
    <t>SA230813693</t>
  </si>
  <si>
    <t>SA230813694</t>
  </si>
  <si>
    <t>010.008-23.96777632</t>
  </si>
  <si>
    <t>010.008-23.96777992</t>
  </si>
  <si>
    <t>010.010-23.71216963</t>
  </si>
  <si>
    <t>010.010-23.71217294</t>
  </si>
  <si>
    <t>010.010-23.71217357</t>
  </si>
  <si>
    <t>SA230814061</t>
  </si>
  <si>
    <t>010.010-23.71217598</t>
  </si>
  <si>
    <t>SA230814104</t>
  </si>
  <si>
    <t>010.010-23.71217667</t>
  </si>
  <si>
    <t>SA230814173</t>
  </si>
  <si>
    <t>010.010-23.71217903</t>
  </si>
  <si>
    <t>SA230814210</t>
  </si>
  <si>
    <t>010.010-23.71217937</t>
  </si>
  <si>
    <t>SA230814245</t>
  </si>
  <si>
    <t>010.010-23.71218157</t>
  </si>
  <si>
    <t>010.010-23.71218415</t>
  </si>
  <si>
    <t>010.010-23.71218416</t>
  </si>
  <si>
    <t>010.010-23.71218417</t>
  </si>
  <si>
    <t>010.010-23.71218491</t>
  </si>
  <si>
    <t>010.010-23.71218770</t>
  </si>
  <si>
    <t>010.010-23.71218771</t>
  </si>
  <si>
    <t>010.010-23.71219031</t>
  </si>
  <si>
    <t>010.010-23.71219032</t>
  </si>
  <si>
    <t>010.010-23.71219064</t>
  </si>
  <si>
    <t>KO 4846</t>
  </si>
  <si>
    <t>KO 4850</t>
  </si>
  <si>
    <t>KO 1823</t>
  </si>
  <si>
    <t>KO 1831</t>
  </si>
  <si>
    <t>LIEZ</t>
  </si>
  <si>
    <t>KO 1837</t>
  </si>
  <si>
    <t>KO 1839</t>
  </si>
  <si>
    <t>G 1832 1843 1844</t>
  </si>
  <si>
    <t>KO 1845</t>
  </si>
  <si>
    <t>G 1636 1637</t>
  </si>
  <si>
    <t>G 1646</t>
  </si>
  <si>
    <t>G 1647</t>
  </si>
  <si>
    <t>G 1650</t>
  </si>
  <si>
    <t>KO 2690 1828 1648</t>
  </si>
  <si>
    <t>KO 1819 2694 3002</t>
  </si>
  <si>
    <t>G 1833 1849 2699</t>
  </si>
  <si>
    <t>A 3010</t>
  </si>
  <si>
    <t>G 3020</t>
  </si>
  <si>
    <t>KO 1826 3007 3023</t>
  </si>
  <si>
    <t>KO 3028</t>
  </si>
  <si>
    <t>G 1824 3031</t>
  </si>
  <si>
    <t>KO 3038</t>
  </si>
  <si>
    <t>A 1841 3009 3039</t>
  </si>
  <si>
    <t>G 2698 1846 3041</t>
  </si>
  <si>
    <t>KO 3043</t>
  </si>
  <si>
    <t>KO 2700 3024 3045</t>
  </si>
  <si>
    <t>G 1901</t>
  </si>
  <si>
    <t>A 1902</t>
  </si>
  <si>
    <t>KO 1904 3006 3029</t>
  </si>
  <si>
    <t>G 1905</t>
  </si>
  <si>
    <t>PANDA</t>
  </si>
  <si>
    <t>A 1906</t>
  </si>
  <si>
    <t>A 1913</t>
  </si>
  <si>
    <t>KO 2691 3044 1914</t>
  </si>
  <si>
    <t>KO 1909 3016 1917</t>
  </si>
  <si>
    <t>KO 1635 3032 1919</t>
  </si>
  <si>
    <t>KO 1838 30301920</t>
  </si>
  <si>
    <t>A 1928 3011 3034</t>
  </si>
  <si>
    <t>G 2695 3042 1931</t>
  </si>
  <si>
    <t>KO 1812 1903 1936</t>
  </si>
  <si>
    <t>KO 1938</t>
  </si>
  <si>
    <t>G 1848 3021 1939</t>
  </si>
  <si>
    <t>G 1940</t>
  </si>
  <si>
    <t>G 1941</t>
  </si>
  <si>
    <t>G 1641 1642 1942</t>
  </si>
  <si>
    <t>G 1945</t>
  </si>
  <si>
    <t>G 1946</t>
  </si>
  <si>
    <t>A 3552</t>
  </si>
  <si>
    <t>G 3018 3026 3553</t>
  </si>
  <si>
    <t>G 3017 3554</t>
  </si>
  <si>
    <t>KO 1910 3557</t>
  </si>
  <si>
    <t>A 3558</t>
  </si>
  <si>
    <t>KO 3004 1949 3559</t>
  </si>
  <si>
    <t>KO 3560</t>
  </si>
  <si>
    <t>G 3561 3562 3563</t>
  </si>
  <si>
    <t>A 3565</t>
  </si>
  <si>
    <t>A 3566</t>
  </si>
  <si>
    <t>A 3570</t>
  </si>
  <si>
    <t>KO 1924 3571</t>
  </si>
  <si>
    <t>KO 1922 3575</t>
  </si>
  <si>
    <t>KO 1943 3567 3580</t>
  </si>
  <si>
    <t>KO 3568 3581</t>
  </si>
  <si>
    <t>A 3582 3574</t>
  </si>
  <si>
    <t>A 3583</t>
  </si>
  <si>
    <t>G 1907 1915 3585</t>
  </si>
  <si>
    <t>G 1639 3013 3587</t>
  </si>
  <si>
    <t>A 3588</t>
  </si>
  <si>
    <t>A 1850 3037 3590</t>
  </si>
  <si>
    <t>G 1830 3012 3593</t>
  </si>
  <si>
    <t>G 3594</t>
  </si>
  <si>
    <t>KO 1925 3569 3595</t>
  </si>
  <si>
    <t>KO 1933 3597</t>
  </si>
  <si>
    <t>KO 4847 4848 3251</t>
  </si>
  <si>
    <t>KO 4849 3014 3252</t>
  </si>
  <si>
    <t>KO 3015 3254</t>
  </si>
  <si>
    <t>KO 4845 3005 3255</t>
  </si>
  <si>
    <t>KO 3253 3256 3257</t>
  </si>
  <si>
    <t>SA230815503</t>
  </si>
  <si>
    <t>JUH488/23</t>
  </si>
  <si>
    <t>JUH487/23</t>
  </si>
  <si>
    <t>KO 1951</t>
  </si>
  <si>
    <t>G 1952</t>
  </si>
  <si>
    <t>G 1954</t>
  </si>
  <si>
    <t>G 1956</t>
  </si>
  <si>
    <t>KO 1957</t>
  </si>
  <si>
    <t>G 3556 3577 1960</t>
  </si>
  <si>
    <t>KO 1929 3579 1964</t>
  </si>
  <si>
    <t>G 1965</t>
  </si>
  <si>
    <t>KO 1967</t>
  </si>
  <si>
    <t>KO 1968</t>
  </si>
  <si>
    <t>KO 3003 1969</t>
  </si>
  <si>
    <t>KO 1970 1971</t>
  </si>
  <si>
    <t>KO 1972</t>
  </si>
  <si>
    <t>G 1973 1974</t>
  </si>
  <si>
    <t>KO 1975</t>
  </si>
  <si>
    <t>G 1976</t>
  </si>
  <si>
    <t>A 1937 1977</t>
  </si>
  <si>
    <t>A 1978</t>
  </si>
  <si>
    <t>G 1979</t>
  </si>
  <si>
    <t>JUNIOR</t>
  </si>
  <si>
    <t>KO 3551 3598 1981</t>
  </si>
  <si>
    <t>KO 1982</t>
  </si>
  <si>
    <t>KO 1983</t>
  </si>
  <si>
    <t>G 1984</t>
  </si>
  <si>
    <t>KO 1985</t>
  </si>
  <si>
    <t>G 1912 1948 1986</t>
  </si>
  <si>
    <t>KO 3576 3600 1987</t>
  </si>
  <si>
    <t>KO 1989</t>
  </si>
  <si>
    <t>G 1643 1644 3501</t>
  </si>
  <si>
    <t>G 3503</t>
  </si>
  <si>
    <t>KO 2697 3025 3504</t>
  </si>
  <si>
    <t>KO 1638 1640 3505</t>
  </si>
  <si>
    <t>A 1645 3506</t>
  </si>
  <si>
    <t>G 1955 3509</t>
  </si>
  <si>
    <t>G 1911 1962 3512</t>
  </si>
  <si>
    <t>KO 1918 1980 3514</t>
  </si>
  <si>
    <t>A 3508 3584 3517</t>
  </si>
  <si>
    <t>A 3040 3586 3418</t>
  </si>
  <si>
    <t>KO 3519</t>
  </si>
  <si>
    <t>A 3515 3521</t>
  </si>
  <si>
    <t>KO 4827 4831 1552</t>
  </si>
  <si>
    <t>SINGOSARI</t>
  </si>
  <si>
    <t>KO 1558</t>
  </si>
  <si>
    <t>KO 1553 1560 1561</t>
  </si>
  <si>
    <t>KO 1551 1557 1563</t>
  </si>
  <si>
    <t>KO 1555 4838 1564</t>
  </si>
  <si>
    <t>KO 1605 1562 1565</t>
  </si>
  <si>
    <t>KO 1556 4843 1567</t>
  </si>
  <si>
    <t>KO 1568</t>
  </si>
  <si>
    <t>KO 1559 4839 1569</t>
  </si>
  <si>
    <t>KO 1570</t>
  </si>
  <si>
    <t>KO 1575</t>
  </si>
  <si>
    <t>KO 1576</t>
  </si>
  <si>
    <t>KO 1579 3258 3260</t>
  </si>
  <si>
    <t>KO 1572 1581</t>
  </si>
  <si>
    <t>KO 1571 1573 1583</t>
  </si>
  <si>
    <t>KO 1580 1584</t>
  </si>
  <si>
    <t>KO 1586 1587</t>
  </si>
  <si>
    <t>KO 1582 3259 1588</t>
  </si>
  <si>
    <t>KO 1590</t>
  </si>
  <si>
    <t>G/A 1842 3592 3048</t>
  </si>
  <si>
    <t>G 1961 3049</t>
  </si>
  <si>
    <t>G 1958 3510 3511</t>
  </si>
  <si>
    <t>KO 4116 4117 4118</t>
  </si>
  <si>
    <t>KO 4119 4120 4121</t>
  </si>
  <si>
    <t>KO 0162 0163 0164</t>
  </si>
  <si>
    <t>G 3050 3507 3601</t>
  </si>
  <si>
    <t>G 3602</t>
  </si>
  <si>
    <t>KO 3603 3604</t>
  </si>
  <si>
    <t>G 1950 3578 3607</t>
  </si>
  <si>
    <t>KO 3608</t>
  </si>
  <si>
    <t>KO 3513 3609</t>
  </si>
  <si>
    <t>KO 3610</t>
  </si>
  <si>
    <t>G 1953 3611</t>
  </si>
  <si>
    <t>G 2696 3596 3613</t>
  </si>
  <si>
    <t>G 1966 3614</t>
  </si>
  <si>
    <t>KO 3617</t>
  </si>
  <si>
    <t>KO 3618</t>
  </si>
  <si>
    <t>KO 2693 1836 3619</t>
  </si>
  <si>
    <t>KO 3621</t>
  </si>
  <si>
    <t>KO 3622</t>
  </si>
  <si>
    <t>G 3616 3623</t>
  </si>
  <si>
    <t>G 1835 1963 3624</t>
  </si>
  <si>
    <t>G 3625</t>
  </si>
  <si>
    <t>010.002-23.26048022</t>
  </si>
  <si>
    <t>010.002-23.26048024</t>
  </si>
  <si>
    <t>010.002-23.26048169</t>
  </si>
  <si>
    <t>010.002-23.26048198</t>
  </si>
  <si>
    <t>010.002-23.26048481</t>
  </si>
  <si>
    <t>010.002-23.26048586</t>
  </si>
  <si>
    <t>010.002-23.26048674</t>
  </si>
  <si>
    <t>010.002-23.26048764</t>
  </si>
  <si>
    <t>010.002-23.26048896</t>
  </si>
  <si>
    <t>010.002-23.26048981</t>
  </si>
  <si>
    <t>010.002-23.26049094</t>
  </si>
  <si>
    <t>010.002-23.26049259</t>
  </si>
  <si>
    <t>010.002-23.26049359</t>
  </si>
  <si>
    <t>010.002-23.26049365</t>
  </si>
  <si>
    <t>010.002-23.26049390</t>
  </si>
  <si>
    <t>010.002-23.26049474</t>
  </si>
  <si>
    <t>010.002-23.26049662</t>
  </si>
  <si>
    <t>010.002-23.26049798</t>
  </si>
  <si>
    <t>010.002-23.26049804</t>
  </si>
  <si>
    <t>010.002-23.26049964</t>
  </si>
  <si>
    <t>010.002-23.26050128</t>
  </si>
  <si>
    <t>010.002-23.26050258</t>
  </si>
  <si>
    <t>010.002-23.26050354</t>
  </si>
  <si>
    <t>010.002-23.26050434</t>
  </si>
  <si>
    <t>010.002-23.26050514</t>
  </si>
  <si>
    <t>010.002-23.26050540</t>
  </si>
  <si>
    <t>010.008-23.45264192</t>
  </si>
  <si>
    <t>010.009-23.64526809</t>
  </si>
  <si>
    <t>KO 3630</t>
  </si>
  <si>
    <t>KO 3644</t>
  </si>
  <si>
    <t>G 3531</t>
  </si>
  <si>
    <t>G 3530</t>
  </si>
  <si>
    <t>KO 3542</t>
  </si>
  <si>
    <t>KO 3544</t>
  </si>
  <si>
    <t>G 3547</t>
  </si>
  <si>
    <t>A 3703</t>
  </si>
  <si>
    <t>G 3525</t>
  </si>
  <si>
    <t>KO 3709</t>
  </si>
  <si>
    <t>L209016</t>
  </si>
  <si>
    <t>23080249</t>
  </si>
  <si>
    <t>23080354</t>
  </si>
  <si>
    <t>23080862</t>
  </si>
  <si>
    <t>23082026</t>
  </si>
  <si>
    <t>23082122</t>
  </si>
  <si>
    <t>010.010-23.71219528</t>
  </si>
  <si>
    <t>010.010-23.71219693</t>
  </si>
  <si>
    <t>010.010-23.71229696</t>
  </si>
  <si>
    <t>010.010-23.71220049</t>
  </si>
  <si>
    <t>010.010-23.71220126</t>
  </si>
  <si>
    <t>010.010-23.71220127</t>
  </si>
  <si>
    <t>010.010-23.71220275</t>
  </si>
  <si>
    <t>010.010-23.71220315</t>
  </si>
  <si>
    <t>010.010-23.71220618</t>
  </si>
  <si>
    <t>SA230815074</t>
  </si>
  <si>
    <t>010.010-23.71220888</t>
  </si>
  <si>
    <t>010.010-23.71221114</t>
  </si>
  <si>
    <t>010.010-23.71221310</t>
  </si>
  <si>
    <t>010.010-23.71221499</t>
  </si>
  <si>
    <t>010.010-23.71221695</t>
  </si>
  <si>
    <t>010.010-23.71221728</t>
  </si>
  <si>
    <t>010.010-23.71221913</t>
  </si>
  <si>
    <t>010.009-23.34455854</t>
  </si>
  <si>
    <t>010.009-23.34455879</t>
  </si>
  <si>
    <t>SENTRA INDUSTRI TERPADU 1 &amp; 2 BLOK E1 NO 58 &amp; 59 , JAKARTA UTARA</t>
  </si>
  <si>
    <t>KO 1598</t>
  </si>
  <si>
    <t>KO 3265</t>
  </si>
  <si>
    <t>KO 3726</t>
  </si>
  <si>
    <t>G 3754</t>
  </si>
  <si>
    <t>G 3731</t>
  </si>
  <si>
    <t>ONGKOS SALES (G) 03-08 JULI 2023</t>
  </si>
  <si>
    <t>ONGKOS SALES (G) 10-15 JULI 2023</t>
  </si>
  <si>
    <t>SOLAR H 8693 LQ</t>
  </si>
  <si>
    <t>PELUNASAN SERVICE KUDA MAS 24/07/2023 | 001650 | TRAGA H 8366 CQ</t>
  </si>
  <si>
    <t>GANTI OLI MOTOR H 6586 NH</t>
  </si>
  <si>
    <t>PAJAK TAHUNAN STNK H 1745 H</t>
  </si>
  <si>
    <t>PELUNASAN SERVICE KUDA MAS 29/07/2023 | 001682 | TRAGA H 1887 UH  29/07/2023 | 001685 | TRAGA H 8385 AQ</t>
  </si>
  <si>
    <t>KIER H 1745 H</t>
  </si>
  <si>
    <t>KERTAS HVS F4 SIDU</t>
  </si>
  <si>
    <t>PAJAK TAHUNAN H 1240 IH &amp; H 1237 IH</t>
  </si>
  <si>
    <t>ISI A.P.A.R</t>
  </si>
  <si>
    <t>BELI BAN H 1240 IH</t>
  </si>
  <si>
    <t>ONGKOS SALES (G) 17,18,20-22 JULI 2023</t>
  </si>
  <si>
    <t>ONGKOS SALES (G) 25-27 JULI 2023</t>
  </si>
  <si>
    <t>ONGKOS SALES (G) 01-04 AGUSTUS 2023</t>
  </si>
  <si>
    <t>01/08/23 - 31/08/23</t>
  </si>
  <si>
    <t>Dari SCN SINAR CAHAYA NIRMALA CV</t>
  </si>
  <si>
    <t>LLG-2</t>
  </si>
  <si>
    <t>0317089</t>
  </si>
  <si>
    <t>0742536</t>
  </si>
  <si>
    <t>pembayaran LO SOEYANTO LOPOLUSI</t>
  </si>
  <si>
    <t>652117-BCA-TITIPAN KLIRING</t>
  </si>
  <si>
    <t>652118-BCA-TITIPAN KLIRING</t>
  </si>
  <si>
    <t>0317090</t>
  </si>
  <si>
    <t>0918025</t>
  </si>
  <si>
    <t>- JENNY RUSTIN WIDJAJA</t>
  </si>
  <si>
    <t>0000746</t>
  </si>
  <si>
    <t>G 3733</t>
  </si>
  <si>
    <t>UANG HADIR KARYAWAN MINGGUAN (PERIODE 28 AGT - 02 SEPT 2023)</t>
  </si>
  <si>
    <t>UANG HADIR KARYAWAN MINGGUAN (PERIODE 04 - 09 SEPTEMBER 2023)</t>
  </si>
  <si>
    <t>GAJI KARYAWAN HARIAN TETAP (PERIODE 28 AGT - 09 SEPT 2023)</t>
  </si>
  <si>
    <t>UANG HADIR KARYAWAN MINGGUAN (PERIODE 11 - 16 SEPTEMBER 2023)</t>
  </si>
  <si>
    <t>GAJI KARYAWAN HARIAN TETAP (PERIODE 11 - 23 SEPTEMBER 2023)</t>
  </si>
  <si>
    <t>UANG HADIR KARYAWAN MINGGUAN (PERIODE 18 - 23 SEPTEMBER 2023)</t>
  </si>
  <si>
    <t>UANG HADIR KARYAWAN MINGGUAN (PERIODE 25 - 30 SEPTEMBER 2023)</t>
  </si>
  <si>
    <t>010.002-23.26050659</t>
  </si>
  <si>
    <t>010.002-23.26059442</t>
  </si>
  <si>
    <t>010.002-23.26059527</t>
  </si>
  <si>
    <t>010.002-23.26059800</t>
  </si>
  <si>
    <t>010.002-23.26060011</t>
  </si>
  <si>
    <t>010.002-23.26060016</t>
  </si>
  <si>
    <t>010.002-23.26060131</t>
  </si>
  <si>
    <t>010.002-23.26060249</t>
  </si>
  <si>
    <t>010.002-23.26060295</t>
  </si>
  <si>
    <t>010.002-23.26060516</t>
  </si>
  <si>
    <t>010.002-23.26060519</t>
  </si>
  <si>
    <t>010.002-23.26060661</t>
  </si>
  <si>
    <t>010.002-23.26060687</t>
  </si>
  <si>
    <t>010.002-23.26060725</t>
  </si>
  <si>
    <t>010.002-23.26060945</t>
  </si>
  <si>
    <t>010.002-23.26061029</t>
  </si>
  <si>
    <t>010.002-23.26061112</t>
  </si>
  <si>
    <t>010.010-23.33241704</t>
  </si>
  <si>
    <t>KO 3820</t>
  </si>
  <si>
    <t>G 3734</t>
  </si>
  <si>
    <t>KO 3742</t>
  </si>
  <si>
    <t>010.009-23.18977716</t>
  </si>
  <si>
    <t>SINV99-230900000198</t>
  </si>
  <si>
    <t>23091769</t>
  </si>
  <si>
    <t>23091884</t>
  </si>
  <si>
    <t>SA230915843</t>
  </si>
  <si>
    <t>SA230915844</t>
  </si>
  <si>
    <t>SA230915845</t>
  </si>
  <si>
    <t>SA230915846</t>
  </si>
  <si>
    <t>SA230915860</t>
  </si>
  <si>
    <t>SA230915894</t>
  </si>
  <si>
    <t>SA230915895</t>
  </si>
  <si>
    <t>SA230916212</t>
  </si>
  <si>
    <t>SA230916213</t>
  </si>
  <si>
    <t>SA230916235</t>
  </si>
  <si>
    <t>SA230916290</t>
  </si>
  <si>
    <t>SA230916347</t>
  </si>
  <si>
    <t>SA230916381</t>
  </si>
  <si>
    <t>SA230916446</t>
  </si>
  <si>
    <t>SA230916500</t>
  </si>
  <si>
    <t>SA230916501</t>
  </si>
  <si>
    <t>SA230916502</t>
  </si>
  <si>
    <t>SA230916590</t>
  </si>
  <si>
    <t>SA230916629</t>
  </si>
  <si>
    <t>SA230916668</t>
  </si>
  <si>
    <t>SA230916775</t>
  </si>
  <si>
    <t>SA230916817</t>
  </si>
  <si>
    <t>23090036</t>
  </si>
  <si>
    <t>23090082</t>
  </si>
  <si>
    <t>23090138</t>
  </si>
  <si>
    <t>23090252</t>
  </si>
  <si>
    <t>23090463</t>
  </si>
  <si>
    <t>23090468</t>
  </si>
  <si>
    <t>23090583</t>
  </si>
  <si>
    <t>23090701</t>
  </si>
  <si>
    <t>23090747</t>
  </si>
  <si>
    <t>23090968</t>
  </si>
  <si>
    <t>23090971</t>
  </si>
  <si>
    <t>23091114</t>
  </si>
  <si>
    <t>23091140</t>
  </si>
  <si>
    <t>23091177</t>
  </si>
  <si>
    <t>23091397</t>
  </si>
  <si>
    <t>23091481</t>
  </si>
  <si>
    <t>23091564</t>
  </si>
  <si>
    <t>23090817</t>
  </si>
  <si>
    <t>JL-16553</t>
  </si>
  <si>
    <t>JL-16554</t>
  </si>
  <si>
    <t>L109035</t>
  </si>
  <si>
    <t>NCL-R2309000010</t>
  </si>
  <si>
    <t>NATURAL CAHAYA LESTARI</t>
  </si>
  <si>
    <t>SN23092177</t>
  </si>
  <si>
    <t>G 3787</t>
  </si>
  <si>
    <t>KO 3828</t>
  </si>
  <si>
    <t>010.009-23.63510985</t>
  </si>
  <si>
    <t>71.003.418.2-047.000</t>
  </si>
  <si>
    <t>KOMPLEK DUTA HARAPAN INDAH BLOK BLOK UU NO 58 RT 008 RW 002, KAPUK MUARA , JAKARTA UTARA</t>
  </si>
  <si>
    <t>KO 3791</t>
  </si>
  <si>
    <t>KO 3780</t>
  </si>
  <si>
    <t>GAJI KARYAWAN HARIAN TETAP (PERIODE 25 SEPT - 07 OKT 2023)</t>
  </si>
  <si>
    <t>UANG HADIR KARYAWAN MINGGUAN (PERIODE 02 - 07 OKTOBER 2023)</t>
  </si>
  <si>
    <t>UANG HADIR KARYAWAN MINGGUAN (PERIODE 09 - 14 OKTOBER 2023)</t>
  </si>
  <si>
    <t>GAJI KARYAWAN HARIAN TETAP (PERIODE 09 - 21 OKTOBER 2023)</t>
  </si>
  <si>
    <t>UANG HADIR KARYAWAN MINGGUAN (PERIODE 16 - 21 OKTOBER 2023)</t>
  </si>
  <si>
    <t>UANG HADIR KARYAWAN MINGGUAN (PERIODE 23 - 28 OKTOBER 2023)</t>
  </si>
  <si>
    <t>KO 3801</t>
  </si>
  <si>
    <t>010.002-23.26061317</t>
  </si>
  <si>
    <t>010.002-23.26061432</t>
  </si>
  <si>
    <t>010.002-23.26061543</t>
  </si>
  <si>
    <t>010.002-23.26061556</t>
  </si>
  <si>
    <t>010.002-23.26061626</t>
  </si>
  <si>
    <t>010.002-23.26061719</t>
  </si>
  <si>
    <t>010.002-23.26061762</t>
  </si>
  <si>
    <t>010.002-23.26061859</t>
  </si>
  <si>
    <t>010.002-23.26060365</t>
  </si>
  <si>
    <t>AM 23090025</t>
  </si>
  <si>
    <t>G 3962</t>
  </si>
  <si>
    <t>A 1988</t>
  </si>
  <si>
    <t>G 1994</t>
  </si>
  <si>
    <t>G 1995</t>
  </si>
  <si>
    <t>A 3627</t>
  </si>
  <si>
    <t>G 3634</t>
  </si>
  <si>
    <t>A 3638</t>
  </si>
  <si>
    <t>A 3639</t>
  </si>
  <si>
    <t>A 3643</t>
  </si>
  <si>
    <t>G 3647</t>
  </si>
  <si>
    <t>G 3648</t>
  </si>
  <si>
    <t>G 3649</t>
  </si>
  <si>
    <t>G 3650</t>
  </si>
  <si>
    <t>23092008</t>
  </si>
  <si>
    <t>23091995</t>
  </si>
  <si>
    <t>23092078</t>
  </si>
  <si>
    <t>23092171</t>
  </si>
  <si>
    <t>SA230916837</t>
  </si>
  <si>
    <t>SA230916941</t>
  </si>
  <si>
    <t>010.010-23.71222986</t>
  </si>
  <si>
    <t>010.010-23.71222987</t>
  </si>
  <si>
    <t>010.010-23.71222988</t>
  </si>
  <si>
    <t>010.010-23.71222989</t>
  </si>
  <si>
    <t>010.010-23.71223003</t>
  </si>
  <si>
    <t>010.010-23.71223163</t>
  </si>
  <si>
    <t>010.010-23.71223164</t>
  </si>
  <si>
    <t>010.010-23.71224322</t>
  </si>
  <si>
    <t>010.010-23.71224323</t>
  </si>
  <si>
    <t>010.010-23.71224345</t>
  </si>
  <si>
    <t>010.010-23.71224561</t>
  </si>
  <si>
    <t>010.010-23.71224754</t>
  </si>
  <si>
    <t>010.010-23.71224788</t>
  </si>
  <si>
    <t>010.010-23.71225031</t>
  </si>
  <si>
    <t>010.010-23.71225085</t>
  </si>
  <si>
    <t>010.010-23.71225086</t>
  </si>
  <si>
    <t>010.010-23.71225087</t>
  </si>
  <si>
    <t>23092214</t>
  </si>
  <si>
    <t>23092311</t>
  </si>
  <si>
    <t>SA230917133</t>
  </si>
  <si>
    <t>G 3523</t>
  </si>
  <si>
    <t>KO 3532</t>
  </si>
  <si>
    <t>G 3539</t>
  </si>
  <si>
    <t>ANEKA SISWA</t>
  </si>
  <si>
    <t>KO 3628 3533 3541</t>
  </si>
  <si>
    <t>KO 3636 3550</t>
  </si>
  <si>
    <t>A 1997 3705</t>
  </si>
  <si>
    <t>KO 3631 3548 3707</t>
  </si>
  <si>
    <t>KO 3526 3701 3708</t>
  </si>
  <si>
    <t>KO 1993 3714</t>
  </si>
  <si>
    <t>SA230917238</t>
  </si>
  <si>
    <t>KO 3633 3645 3715</t>
  </si>
  <si>
    <t>KO 3646 3549 3716</t>
  </si>
  <si>
    <t>KO 3704 3712 3720</t>
  </si>
  <si>
    <t>A 3529 3718 3721</t>
  </si>
  <si>
    <t>KO 1991 3537 3722</t>
  </si>
  <si>
    <t>KO 3527 3540 3723</t>
  </si>
  <si>
    <t>KO 3710 3725 3736</t>
  </si>
  <si>
    <t>KO 3637 3739</t>
  </si>
  <si>
    <t>KO 3719 3732 3741</t>
  </si>
  <si>
    <t>KO 3535 3738 3743</t>
  </si>
  <si>
    <t>KO 3717 3735 3748</t>
  </si>
  <si>
    <t>A 3751</t>
  </si>
  <si>
    <t>A 3753</t>
  </si>
  <si>
    <t>G 3755</t>
  </si>
  <si>
    <t>A 3545 3756</t>
  </si>
  <si>
    <t>G 3759</t>
  </si>
  <si>
    <t>G 3764 3740</t>
  </si>
  <si>
    <t>A 1999 3765</t>
  </si>
  <si>
    <t>KO 3706 3747 3766</t>
  </si>
  <si>
    <t>A 3767</t>
  </si>
  <si>
    <t>G 3768</t>
  </si>
  <si>
    <t>KO 3770</t>
  </si>
  <si>
    <t>G 3771</t>
  </si>
  <si>
    <t>KO 3772</t>
  </si>
  <si>
    <t>KO 3730 3773 3774</t>
  </si>
  <si>
    <t>G 3522 3775</t>
  </si>
  <si>
    <t>G 3632 3778 3779</t>
  </si>
  <si>
    <t>KO 3781</t>
  </si>
  <si>
    <t>KO 3752 3737 3782</t>
  </si>
  <si>
    <t>A 3783</t>
  </si>
  <si>
    <t>G 3524 3538 3784</t>
  </si>
  <si>
    <t>G 3640 3760 3785</t>
  </si>
  <si>
    <t>EVERLYN</t>
  </si>
  <si>
    <t>REMBANG</t>
  </si>
  <si>
    <t>KO 1992 3534 3788</t>
  </si>
  <si>
    <t>KO 3528 3546 3789</t>
  </si>
  <si>
    <t>KO 3790</t>
  </si>
  <si>
    <t>KO 3792</t>
  </si>
  <si>
    <t>A 3793</t>
  </si>
  <si>
    <t>KO 3796</t>
  </si>
  <si>
    <t>A 3797</t>
  </si>
  <si>
    <t>G 3799</t>
  </si>
  <si>
    <t>KO 1593</t>
  </si>
  <si>
    <t>KO 3724 3729 1599</t>
  </si>
  <si>
    <t>KO 1596 1600</t>
  </si>
  <si>
    <t>G 3803</t>
  </si>
  <si>
    <t>G 3802</t>
  </si>
  <si>
    <t>A 3805 3744</t>
  </si>
  <si>
    <t>KO 3761 3809</t>
  </si>
  <si>
    <t>A 3810</t>
  </si>
  <si>
    <t>A 3812 3786</t>
  </si>
  <si>
    <t>KO 3642 3763 3813</t>
  </si>
  <si>
    <t>KO 3536 3800 3815</t>
  </si>
  <si>
    <t>G 3543 3727 3816</t>
  </si>
  <si>
    <t>KO 3818</t>
  </si>
  <si>
    <t>G 3811 3819</t>
  </si>
  <si>
    <t>G 3821</t>
  </si>
  <si>
    <t>KO 3713 3795 3823</t>
  </si>
  <si>
    <t>G 3824 3825</t>
  </si>
  <si>
    <t>G 3829</t>
  </si>
  <si>
    <t>G 3830</t>
  </si>
  <si>
    <t>KO 3831</t>
  </si>
  <si>
    <t>KO 1996 3832</t>
  </si>
  <si>
    <t>G 3833 3835</t>
  </si>
  <si>
    <t>G 3836</t>
  </si>
  <si>
    <t>KO 3261 1592 1858</t>
  </si>
  <si>
    <t>KO 3263 1594 3728</t>
  </si>
  <si>
    <t>KO 3264</t>
  </si>
  <si>
    <t>KO 1595 3266 3267</t>
  </si>
  <si>
    <t>KO 3269</t>
  </si>
  <si>
    <t>KO 3268 3270</t>
  </si>
  <si>
    <t>KO 3271</t>
  </si>
  <si>
    <t>G 3804 3777 3901</t>
  </si>
  <si>
    <t>KO 3902 3798</t>
  </si>
  <si>
    <t>G 3762 3776 3904</t>
  </si>
  <si>
    <t>KO 3905</t>
  </si>
  <si>
    <t>KO 3814 3906</t>
  </si>
  <si>
    <t>KO 3907</t>
  </si>
  <si>
    <t>G 3826 3827 3908</t>
  </si>
  <si>
    <t>KO 3909</t>
  </si>
  <si>
    <t>KO 3750 3903 3951</t>
  </si>
  <si>
    <t>KO 3807 3794 3952</t>
  </si>
  <si>
    <t>G 3953 3954</t>
  </si>
  <si>
    <t>G 3769 3746 3955</t>
  </si>
  <si>
    <t>A 3757 3806 3956</t>
  </si>
  <si>
    <t>KO 3957</t>
  </si>
  <si>
    <t>KO 3702 3958</t>
  </si>
  <si>
    <t>G 3959</t>
  </si>
  <si>
    <t>KO 3960</t>
  </si>
  <si>
    <t>G 3961</t>
  </si>
  <si>
    <t>KO 3808 3745 3963</t>
  </si>
  <si>
    <t>G 3749 3964</t>
  </si>
  <si>
    <t>KO 4459</t>
  </si>
  <si>
    <t>KO 3262 4501 4460</t>
  </si>
  <si>
    <t>SULUNG JAYA</t>
  </si>
  <si>
    <t>N 0559 - 0574</t>
  </si>
  <si>
    <t>KO 4122 4123</t>
  </si>
  <si>
    <t>KO 4124</t>
  </si>
  <si>
    <t>KO 4125</t>
  </si>
  <si>
    <t>A 0564</t>
  </si>
  <si>
    <t>COMBI</t>
  </si>
  <si>
    <t>KO 0575</t>
  </si>
  <si>
    <t>G 0576</t>
  </si>
  <si>
    <t>A 0577 0579</t>
  </si>
  <si>
    <t>A 0580 - 0587</t>
  </si>
  <si>
    <t>H 0901 - 0905</t>
  </si>
  <si>
    <t>H 0906 - 0910</t>
  </si>
  <si>
    <t>010.011-23.39916553</t>
  </si>
  <si>
    <t>010.011-23.39916554</t>
  </si>
  <si>
    <t>H 0568 0578 0133</t>
  </si>
  <si>
    <t>01/09/23 - 30/09/23</t>
  </si>
  <si>
    <t>0126008</t>
  </si>
  <si>
    <t>0972302</t>
  </si>
  <si>
    <t>Pembayaran Nota TK. Armada Pwt SANTOSO BU</t>
  </si>
  <si>
    <t>912718</t>
  </si>
  <si>
    <t>0463556</t>
  </si>
  <si>
    <t>0911878</t>
  </si>
  <si>
    <t>912719</t>
  </si>
  <si>
    <t>0317091</t>
  </si>
  <si>
    <t>6631</t>
  </si>
  <si>
    <t>0104263</t>
  </si>
  <si>
    <t>0317092</t>
  </si>
  <si>
    <t>KU BCA JAKARTA</t>
  </si>
  <si>
    <t>0902435</t>
  </si>
  <si>
    <t>JENNY RUSTIN WIDJAJA</t>
  </si>
  <si>
    <t>PEMBAYARAN KE PT DWI TUNGGAL INDAH JAYA JAKARTA</t>
  </si>
  <si>
    <t>PERPANJANGAN STNK H 1028 WR</t>
  </si>
  <si>
    <t>SPRAY PEMBASMI  SERANGGA</t>
  </si>
  <si>
    <t>E-TOL</t>
  </si>
  <si>
    <t>PERPANJANGAN STNK H 8308 HA</t>
  </si>
  <si>
    <t>CUCI MOBIL (2 MOBIL)</t>
  </si>
  <si>
    <t>BATERAI DAN TISSUE</t>
  </si>
  <si>
    <t>SERVICE H 1887 UH</t>
  </si>
  <si>
    <t>PARKIR KAWASAN INDUSTRI CANDI</t>
  </si>
  <si>
    <t>BELI LAMPU BOHLAM</t>
  </si>
  <si>
    <t>SERVICE H 1028 WR</t>
  </si>
  <si>
    <t>CUCI MOBIL H 1028 WR</t>
  </si>
  <si>
    <t>SERVICE AC H 1887 UH</t>
  </si>
  <si>
    <t>BAHAN BAKAR GENSET</t>
  </si>
  <si>
    <t>ONGKOS SALES (N) 13-15 JUNI 2023</t>
  </si>
  <si>
    <t>ONGKOS SALES (A) 01-03 AGT 2023</t>
  </si>
  <si>
    <t>ONGKOS SALES (A) 07-10 AGT 2023</t>
  </si>
  <si>
    <t>ONGKOS SALES (A) 15-16 AGT 2023</t>
  </si>
  <si>
    <t>ONGKOS SALES (A) 21-24 AGT 2023</t>
  </si>
  <si>
    <t>ONGKOS SALES (G) 07-11 AGT 2023</t>
  </si>
  <si>
    <t>ONGKOS SALES (G) 14-16 AGT 2023</t>
  </si>
  <si>
    <t>ONGKOS SALES (G) 24-26 AGT 2023</t>
  </si>
  <si>
    <t>ONGKOS SALES (G) 29 AGT-01 SEPT 2023</t>
  </si>
  <si>
    <t>ONGKOS SALES (G) 05-08 SEPT 2023</t>
  </si>
  <si>
    <t>ONGKOS SALES (G) 11-16 SEPT 2023</t>
  </si>
  <si>
    <t>ONGKOS SALES (G) 19-23 SEPT 2023</t>
  </si>
  <si>
    <t>ONGKOS SALES (G) 26-30 SEPT 2023</t>
  </si>
  <si>
    <t>KO 3977</t>
  </si>
  <si>
    <t>KO 3844</t>
  </si>
  <si>
    <t>KO 3845</t>
  </si>
  <si>
    <t>KO 3982</t>
  </si>
  <si>
    <t>G 3850</t>
  </si>
  <si>
    <t>KO 3990</t>
  </si>
  <si>
    <t>KO 3920</t>
  </si>
  <si>
    <t>KO 3921</t>
  </si>
  <si>
    <t>G 4000</t>
  </si>
  <si>
    <t>23100011</t>
  </si>
  <si>
    <t>23100021</t>
  </si>
  <si>
    <t>23100129</t>
  </si>
  <si>
    <t>23100162</t>
  </si>
  <si>
    <t>23100286</t>
  </si>
  <si>
    <t>23100400</t>
  </si>
  <si>
    <t>23100438</t>
  </si>
  <si>
    <t>23100513</t>
  </si>
  <si>
    <t>23100625</t>
  </si>
  <si>
    <t>23100698</t>
  </si>
  <si>
    <t>SA231017483</t>
  </si>
  <si>
    <t>SA231017569</t>
  </si>
  <si>
    <t>SA231017597</t>
  </si>
  <si>
    <t>SA231017756</t>
  </si>
  <si>
    <t>SA231017784</t>
  </si>
  <si>
    <t>N123070023</t>
  </si>
  <si>
    <t>N123070145</t>
  </si>
  <si>
    <t>010.009-23.34456570</t>
  </si>
  <si>
    <t>010.010-23.71225468</t>
  </si>
  <si>
    <t>010.010-23.71225507</t>
  </si>
  <si>
    <t>010.010-23.71225678</t>
  </si>
  <si>
    <t>010.010-23.71226112</t>
  </si>
  <si>
    <t>010.010-23.71226154</t>
  </si>
  <si>
    <t>010.010-23.71226318</t>
  </si>
  <si>
    <t>010.010-23.71226574</t>
  </si>
  <si>
    <t>010.010-23.71227094</t>
  </si>
  <si>
    <t>SA230917105</t>
  </si>
  <si>
    <t>010.010-23.71227122</t>
  </si>
  <si>
    <t>010.010-23.71227382</t>
  </si>
  <si>
    <t>SA231017806</t>
  </si>
  <si>
    <t>SA231017853</t>
  </si>
  <si>
    <t>SA231017890</t>
  </si>
  <si>
    <t>23100839</t>
  </si>
  <si>
    <t>23100872</t>
  </si>
  <si>
    <t>23100992</t>
  </si>
  <si>
    <t>KO 1998 3555</t>
  </si>
  <si>
    <t>KO 4612</t>
  </si>
  <si>
    <t>G 4615</t>
  </si>
  <si>
    <t>KO 4616</t>
  </si>
  <si>
    <t>KO 4626</t>
  </si>
  <si>
    <t>G 4630</t>
  </si>
  <si>
    <t>KO 4638</t>
  </si>
  <si>
    <t>KO 4511</t>
  </si>
  <si>
    <t>010.002-23.26061968</t>
  </si>
  <si>
    <t>010.002-23.26061978</t>
  </si>
  <si>
    <t>010.002-23.26062197</t>
  </si>
  <si>
    <t>010.002-23.26062230</t>
  </si>
  <si>
    <t>010.002-23.26062337</t>
  </si>
  <si>
    <t>010.002-23.26062422</t>
  </si>
  <si>
    <t>010.002-23.26062536</t>
  </si>
  <si>
    <t>010.002-23.26062574</t>
  </si>
  <si>
    <t>010.002-23.26062649</t>
  </si>
  <si>
    <t>010.010-23.33241922</t>
  </si>
  <si>
    <t>L210015 / LL23-210-015 M</t>
  </si>
  <si>
    <t>23101114</t>
  </si>
  <si>
    <t>23101189</t>
  </si>
  <si>
    <t>23101274</t>
  </si>
  <si>
    <t>23101340</t>
  </si>
  <si>
    <t>23101365</t>
  </si>
  <si>
    <t>23101406</t>
  </si>
  <si>
    <t>23101449</t>
  </si>
  <si>
    <t>SA231018062</t>
  </si>
  <si>
    <t>SA231018111</t>
  </si>
  <si>
    <t>SA231018227</t>
  </si>
  <si>
    <t>SA231018228</t>
  </si>
  <si>
    <t>LMA 2023-10-071</t>
  </si>
  <si>
    <t>010.002-23.26062761</t>
  </si>
  <si>
    <t>010.002-23.26062834</t>
  </si>
  <si>
    <t>010.002-23.26062975</t>
  </si>
  <si>
    <t>010.002-23.26063008</t>
  </si>
  <si>
    <t>010.002-23.26063128</t>
  </si>
  <si>
    <t>010.002-23.26063250</t>
  </si>
  <si>
    <t>010.002-23.26063325</t>
  </si>
  <si>
    <t>010.002-23.26063409</t>
  </si>
  <si>
    <t>010.002-23.26063474</t>
  </si>
  <si>
    <t>010.002-23.26063499</t>
  </si>
  <si>
    <t>010.002-23.26063540</t>
  </si>
  <si>
    <t>010.002-23.26063583</t>
  </si>
  <si>
    <t>KO 3273</t>
  </si>
  <si>
    <t>KO 3930</t>
  </si>
  <si>
    <t>23101602</t>
  </si>
  <si>
    <t>23101678</t>
  </si>
  <si>
    <t>23101712</t>
  </si>
  <si>
    <t>SA231018362</t>
  </si>
  <si>
    <t>SA231018363</t>
  </si>
  <si>
    <t>SA231018432</t>
  </si>
  <si>
    <t>G 4589</t>
  </si>
  <si>
    <t>08.529.177.1-602.000</t>
  </si>
  <si>
    <t>ROBIN SUSANTO (TOKO HIDUP BARU)</t>
  </si>
  <si>
    <t>G 4592</t>
  </si>
  <si>
    <t>KO 4664</t>
  </si>
  <si>
    <t>KO 4665</t>
  </si>
  <si>
    <t>G 3931</t>
  </si>
  <si>
    <t>23101825</t>
  </si>
  <si>
    <t>SA231018484</t>
  </si>
  <si>
    <t>SL231000054</t>
  </si>
  <si>
    <t>23100201</t>
  </si>
  <si>
    <t>KO 3928</t>
  </si>
  <si>
    <t>KO 4595</t>
  </si>
  <si>
    <t>G 3939</t>
  </si>
  <si>
    <t>G 3940</t>
  </si>
  <si>
    <t>KO 3944</t>
  </si>
  <si>
    <t>010.012-23.31627098</t>
  </si>
  <si>
    <t>010.012-23.31627099</t>
  </si>
  <si>
    <t>010.012-23.31627100</t>
  </si>
  <si>
    <t>010.012-23.31627229</t>
  </si>
  <si>
    <t>23101924</t>
  </si>
  <si>
    <t>23101999</t>
  </si>
  <si>
    <t>23102077</t>
  </si>
  <si>
    <t>23102143</t>
  </si>
  <si>
    <t>SA231018542</t>
  </si>
  <si>
    <t>SA231018572</t>
  </si>
  <si>
    <t>SA231018659</t>
  </si>
  <si>
    <t>SA231018753</t>
  </si>
  <si>
    <t>SA231018757</t>
  </si>
  <si>
    <t>SA231018758</t>
  </si>
  <si>
    <t>SA231018759</t>
  </si>
  <si>
    <t>L210046 / LL23-210-046 M</t>
  </si>
  <si>
    <t>010.012-23.31627101</t>
  </si>
  <si>
    <t>010.012-23.31627102</t>
  </si>
  <si>
    <t>010.012-23.31627103</t>
  </si>
  <si>
    <t>010.012-23.31627104</t>
  </si>
  <si>
    <t>010.012-23.31627105</t>
  </si>
  <si>
    <t>010.012-23.31627106</t>
  </si>
  <si>
    <t>010.012-23.31627107</t>
  </si>
  <si>
    <t>010.012-23.31627108</t>
  </si>
  <si>
    <t>010.012-23.31627109</t>
  </si>
  <si>
    <t>010.012-23.31627110</t>
  </si>
  <si>
    <t>010.012-23.31627111</t>
  </si>
  <si>
    <t>010.012-23.31627112</t>
  </si>
  <si>
    <t>010.012-23.31627113</t>
  </si>
  <si>
    <t>010.012-23.31627114</t>
  </si>
  <si>
    <t>010.012-23.31627115</t>
  </si>
  <si>
    <t>010.012-23.31627116</t>
  </si>
  <si>
    <t>010.012-23.31627117</t>
  </si>
  <si>
    <t>010.012-23.31627118</t>
  </si>
  <si>
    <t>010.012-23.31627119</t>
  </si>
  <si>
    <t>010.012-23.31627120</t>
  </si>
  <si>
    <t>010.012-23.31627121</t>
  </si>
  <si>
    <t>010.012-23.31627122</t>
  </si>
  <si>
    <t>010.012-23.31627123</t>
  </si>
  <si>
    <t>010.012-23.31627124</t>
  </si>
  <si>
    <t>010.012-23.31627125</t>
  </si>
  <si>
    <t>010.012-23.31627126</t>
  </si>
  <si>
    <t>010.012-23.31627127</t>
  </si>
  <si>
    <t>010.012-23.31627128</t>
  </si>
  <si>
    <t>010.012-23.31627129</t>
  </si>
  <si>
    <t>010.012-23.31627130</t>
  </si>
  <si>
    <t>010.012-23.31627131</t>
  </si>
  <si>
    <t>010.012-23.31627132</t>
  </si>
  <si>
    <t>010.012-23.31627133</t>
  </si>
  <si>
    <t>010.012-23.31627135</t>
  </si>
  <si>
    <t>010.012-23.31627136</t>
  </si>
  <si>
    <t>010.012-23.31627137</t>
  </si>
  <si>
    <t>010.012-23.31627138</t>
  </si>
  <si>
    <t>010.012-23.31627139</t>
  </si>
  <si>
    <t>010.012-23.31627140</t>
  </si>
  <si>
    <t>010.012-23.31627141</t>
  </si>
  <si>
    <t>010.012-23.31627142</t>
  </si>
  <si>
    <t>010.012-23.31627143</t>
  </si>
  <si>
    <t>010.012-23.31627144</t>
  </si>
  <si>
    <t>010.012-23.31627145</t>
  </si>
  <si>
    <t>010.012-23.31627146</t>
  </si>
  <si>
    <t>010.012-23.31627147</t>
  </si>
  <si>
    <t>010.012-23.31627148</t>
  </si>
  <si>
    <t>010.012-23.31627149</t>
  </si>
  <si>
    <t>010.012-23.31627150</t>
  </si>
  <si>
    <t>010.012-23.31627151</t>
  </si>
  <si>
    <t>010.012-23.31627152</t>
  </si>
  <si>
    <t>010.012-23.31627153</t>
  </si>
  <si>
    <t>010.012-23.31627154</t>
  </si>
  <si>
    <t>010.012-23.31627155</t>
  </si>
  <si>
    <t>010.012-23.31627156</t>
  </si>
  <si>
    <t>010.012-23.31627157</t>
  </si>
  <si>
    <t>010.012-23.31627158</t>
  </si>
  <si>
    <t>010.012-23.31627159</t>
  </si>
  <si>
    <t>010.012-23.31627160</t>
  </si>
  <si>
    <t>010.012-23.31627161</t>
  </si>
  <si>
    <t>010.012-23.31627162</t>
  </si>
  <si>
    <t>010.012-23.31627163</t>
  </si>
  <si>
    <t>010.012-23.31627164</t>
  </si>
  <si>
    <t>010.012-23.31627165</t>
  </si>
  <si>
    <t>010.012-23.31627166</t>
  </si>
  <si>
    <t>010.012-23.31627167</t>
  </si>
  <si>
    <t>010.012-23.31627168</t>
  </si>
  <si>
    <t>010.012-23.31627169</t>
  </si>
  <si>
    <t>010.012-23.31627170</t>
  </si>
  <si>
    <t>010.012-23.31627171</t>
  </si>
  <si>
    <t>010.012-23.31627172</t>
  </si>
  <si>
    <t>010.012-23.31627173</t>
  </si>
  <si>
    <t>010.012-23.31627174</t>
  </si>
  <si>
    <t>010.012-23.31627175</t>
  </si>
  <si>
    <t>010.012-23.31627176</t>
  </si>
  <si>
    <t>010.012-23.31627177</t>
  </si>
  <si>
    <t>010.012-23.31627178</t>
  </si>
  <si>
    <t>010.012-23.31627179</t>
  </si>
  <si>
    <t>010.012-23.31627180</t>
  </si>
  <si>
    <t>010.012-23.31627181</t>
  </si>
  <si>
    <t>010.012-23.31627182</t>
  </si>
  <si>
    <t>010.012-23.31627183</t>
  </si>
  <si>
    <t>010.012-23.31627184</t>
  </si>
  <si>
    <t>010.012-23.31627185</t>
  </si>
  <si>
    <t>010.012-23.31627186</t>
  </si>
  <si>
    <t>010.012-23.31627187</t>
  </si>
  <si>
    <t>010.012-23.31627188</t>
  </si>
  <si>
    <t>010.012-23.31627189</t>
  </si>
  <si>
    <t>010.012-23.31627190</t>
  </si>
  <si>
    <t>010.012-23.31627191</t>
  </si>
  <si>
    <t>010.012-23.31627192</t>
  </si>
  <si>
    <t>010.012-23.31627193</t>
  </si>
  <si>
    <t>010.012-23.31627194</t>
  </si>
  <si>
    <t>010.012-23.31627195</t>
  </si>
  <si>
    <t>010.012-23.31627196</t>
  </si>
  <si>
    <t>010.012-23.31627197</t>
  </si>
  <si>
    <t>010.012-23.31627198</t>
  </si>
  <si>
    <t>010.012-23.31627199</t>
  </si>
  <si>
    <t>010.012-23.31627200</t>
  </si>
  <si>
    <t>010.012-23.31627201</t>
  </si>
  <si>
    <t>010.012-23.31627202</t>
  </si>
  <si>
    <t>010.012-23.31627203</t>
  </si>
  <si>
    <t>010.012-23.31627204</t>
  </si>
  <si>
    <t>010.012-23.31627205</t>
  </si>
  <si>
    <t>010.012-23.31627206</t>
  </si>
  <si>
    <t>010.012-23.31627207</t>
  </si>
  <si>
    <t>010.012-23.31627208</t>
  </si>
  <si>
    <t>010.012-23.31627209</t>
  </si>
  <si>
    <t>010.012-23.31627210</t>
  </si>
  <si>
    <t>010.012-23.31627211</t>
  </si>
  <si>
    <t>010.012-23.31627212</t>
  </si>
  <si>
    <t>010.012-23.31627213</t>
  </si>
  <si>
    <t>010.012-23.31627214</t>
  </si>
  <si>
    <t>010.012-23.31627215</t>
  </si>
  <si>
    <t>010.012-23.31627216</t>
  </si>
  <si>
    <t>010.012-23.31627217</t>
  </si>
  <si>
    <t>010.012-23.31627218</t>
  </si>
  <si>
    <t>010.012-23.31627219</t>
  </si>
  <si>
    <t>010.012-23.31627220</t>
  </si>
  <si>
    <t>010.012-23.31627221</t>
  </si>
  <si>
    <t>010.012-23.31627222</t>
  </si>
  <si>
    <t>010.012-23.31627223</t>
  </si>
  <si>
    <t>010.012-23.31627224</t>
  </si>
  <si>
    <t>010.012-23.31627225</t>
  </si>
  <si>
    <t>010.012-23.31627226</t>
  </si>
  <si>
    <t>010.012-23.31627227</t>
  </si>
  <si>
    <t>010.012-23.31627228</t>
  </si>
  <si>
    <t>KO 3945</t>
  </si>
  <si>
    <t>G 3948</t>
  </si>
  <si>
    <t>SA231018842</t>
  </si>
  <si>
    <t>SA231018872</t>
  </si>
  <si>
    <t>010.002-23.26063737</t>
  </si>
  <si>
    <t>010.002-23.26063813</t>
  </si>
  <si>
    <t>010.002-23.26063847</t>
  </si>
  <si>
    <t>010.002-23.26063961</t>
  </si>
  <si>
    <t>010.002-23.26064060</t>
  </si>
  <si>
    <t>010.002-23.26064135</t>
  </si>
  <si>
    <t>010.002-23.26064213</t>
  </si>
  <si>
    <t>010.002-23.26064280</t>
  </si>
  <si>
    <t>010.010-23.71228194</t>
  </si>
  <si>
    <t>010.010-23.71228487</t>
  </si>
  <si>
    <t>010.010-23.71228515</t>
  </si>
  <si>
    <t>010.010-23.71229179</t>
  </si>
  <si>
    <t>010.010-23.71229207</t>
  </si>
  <si>
    <t>010.010-23.71229380</t>
  </si>
  <si>
    <t>010.010-23.71229573</t>
  </si>
  <si>
    <t>010.010-23.71229610</t>
  </si>
  <si>
    <t>010.010-23.71229803</t>
  </si>
  <si>
    <t>SA231017936</t>
  </si>
  <si>
    <t>010.010-23.71230245</t>
  </si>
  <si>
    <t>G 3834</t>
  </si>
  <si>
    <t>G 3841</t>
  </si>
  <si>
    <t>G 3837 3838</t>
  </si>
  <si>
    <t>A 3840</t>
  </si>
  <si>
    <t>KO 3842</t>
  </si>
  <si>
    <t>KO 3843</t>
  </si>
  <si>
    <t>CITRA</t>
  </si>
  <si>
    <t>NIKEN</t>
  </si>
  <si>
    <t>A 3849</t>
  </si>
  <si>
    <t>G 3966</t>
  </si>
  <si>
    <t>G 3968</t>
  </si>
  <si>
    <t>G 3969</t>
  </si>
  <si>
    <t>A 3971</t>
  </si>
  <si>
    <t>A 3972</t>
  </si>
  <si>
    <t>G 3975</t>
  </si>
  <si>
    <t>SEPULUH</t>
  </si>
  <si>
    <t>A 3980</t>
  </si>
  <si>
    <t>KO 3981</t>
  </si>
  <si>
    <t>KO 3983</t>
  </si>
  <si>
    <t>G 3839 3988</t>
  </si>
  <si>
    <t>SIDU / SINAR DUNIA</t>
  </si>
  <si>
    <t>KO 3994</t>
  </si>
  <si>
    <t>KO 3997</t>
  </si>
  <si>
    <t>G 3846 3998</t>
  </si>
  <si>
    <t>G 4551</t>
  </si>
  <si>
    <t>A 4552</t>
  </si>
  <si>
    <t>G 4556 4557</t>
  </si>
  <si>
    <t>G 4558</t>
  </si>
  <si>
    <t>A 4559</t>
  </si>
  <si>
    <t>SAHABAT JAYA</t>
  </si>
  <si>
    <t>G 4560</t>
  </si>
  <si>
    <t>G 4561</t>
  </si>
  <si>
    <t>A 4562</t>
  </si>
  <si>
    <t>PONIYEM</t>
  </si>
  <si>
    <t>G 4563 4564 4565</t>
  </si>
  <si>
    <t>G 4566 4567</t>
  </si>
  <si>
    <t>G 4568 4569</t>
  </si>
  <si>
    <t>JAKAL</t>
  </si>
  <si>
    <t>MANGESTI</t>
  </si>
  <si>
    <t>G 4570 4571</t>
  </si>
  <si>
    <t>A 4572</t>
  </si>
  <si>
    <t>A 4573</t>
  </si>
  <si>
    <t>OPUS</t>
  </si>
  <si>
    <t>A 4575</t>
  </si>
  <si>
    <t>8 1</t>
  </si>
  <si>
    <t>G 4576 4577</t>
  </si>
  <si>
    <t>G 4579 4580</t>
  </si>
  <si>
    <t>010.010-23.33241989</t>
  </si>
  <si>
    <t>KO 3974 3979 4604</t>
  </si>
  <si>
    <t>G 4605 4606</t>
  </si>
  <si>
    <t>A 4607</t>
  </si>
  <si>
    <t>A 4608</t>
  </si>
  <si>
    <t>MAESTRO</t>
  </si>
  <si>
    <t>KO 4609 4578</t>
  </si>
  <si>
    <t>KO 3976 4601 4610</t>
  </si>
  <si>
    <t>KO 4611</t>
  </si>
  <si>
    <t>KO 3973 4602 4614</t>
  </si>
  <si>
    <t>G 4555 4623</t>
  </si>
  <si>
    <t>KO 3848 4603 4625</t>
  </si>
  <si>
    <t>G 3847 3996 4628</t>
  </si>
  <si>
    <t>A 4629</t>
  </si>
  <si>
    <t>G 3817 4639</t>
  </si>
  <si>
    <t>G 4640</t>
  </si>
  <si>
    <t>KO 4581</t>
  </si>
  <si>
    <t>KO 4582</t>
  </si>
  <si>
    <t>A 4583</t>
  </si>
  <si>
    <t>KO 4584</t>
  </si>
  <si>
    <t>KO 4619 4641 4642</t>
  </si>
  <si>
    <t>A 4590</t>
  </si>
  <si>
    <t>G 4591</t>
  </si>
  <si>
    <t>G 4593</t>
  </si>
  <si>
    <t>KO 4644</t>
  </si>
  <si>
    <t>KO 4645</t>
  </si>
  <si>
    <t>KO 3989 4635 4648</t>
  </si>
  <si>
    <t>KO 4617 4650</t>
  </si>
  <si>
    <t>KO 4596</t>
  </si>
  <si>
    <t>G 4554 4646 4597</t>
  </si>
  <si>
    <t>KO 3970 4599</t>
  </si>
  <si>
    <t>KO 3912 4618 4649</t>
  </si>
  <si>
    <t>KO 3914</t>
  </si>
  <si>
    <t>KO 3915 3924</t>
  </si>
  <si>
    <t>KO 3910 4632 3926</t>
  </si>
  <si>
    <t>KO 3911 4627 3927</t>
  </si>
  <si>
    <t>KO 3932</t>
  </si>
  <si>
    <t>G 4622 3934</t>
  </si>
  <si>
    <t>SA231018992</t>
  </si>
  <si>
    <t>011.010-23.05829869</t>
  </si>
  <si>
    <t>KO 3985 3925 3936</t>
  </si>
  <si>
    <t>G 4586 4587 3937</t>
  </si>
  <si>
    <t>KO 3922 4598 3938</t>
  </si>
  <si>
    <t>A 3941</t>
  </si>
  <si>
    <t>KO 3978 3918 3943</t>
  </si>
  <si>
    <t>KO 3949</t>
  </si>
  <si>
    <t>INDO GLOBAL</t>
  </si>
  <si>
    <t>KO 4503 3272 3929</t>
  </si>
  <si>
    <t>KO 4507 3276 3278</t>
  </si>
  <si>
    <t>KO 4508 3279</t>
  </si>
  <si>
    <t>KO 4510</t>
  </si>
  <si>
    <t>KO 4504 4505 4516</t>
  </si>
  <si>
    <t>KO 4506 4517</t>
  </si>
  <si>
    <t>KO 4509 4518</t>
  </si>
  <si>
    <t>KO 4512 3274 4520</t>
  </si>
  <si>
    <t>KO 4502 4515 4522</t>
  </si>
  <si>
    <t>A 3992 4624 4652</t>
  </si>
  <si>
    <t>G 3965 4621 4653</t>
  </si>
  <si>
    <t>KO 3913 4636 4656</t>
  </si>
  <si>
    <t>KO 3991 3942 4657</t>
  </si>
  <si>
    <t>KO 4651 4658</t>
  </si>
  <si>
    <t>KO 4660</t>
  </si>
  <si>
    <t>KO 3923 3933 4661</t>
  </si>
  <si>
    <t>KO 4655 4662</t>
  </si>
  <si>
    <t>AL AMIN</t>
  </si>
  <si>
    <t>WELAHAN</t>
  </si>
  <si>
    <t>KO 4666 4667</t>
  </si>
  <si>
    <t>KO 4668</t>
  </si>
  <si>
    <t>A 4574 4643 4669</t>
  </si>
  <si>
    <t>KO 4670 3946</t>
  </si>
  <si>
    <t>KO 4671</t>
  </si>
  <si>
    <t>KO 4633 4672</t>
  </si>
  <si>
    <t>KO 4654 3935 4673</t>
  </si>
  <si>
    <t>G 4677 4678</t>
  </si>
  <si>
    <t>A 4585 4679</t>
  </si>
  <si>
    <t>KO 4125 4126</t>
  </si>
  <si>
    <t>KO 4462 4513 4514</t>
  </si>
  <si>
    <t>KO 4519 4464</t>
  </si>
  <si>
    <t>KO 4701</t>
  </si>
  <si>
    <t>KO 3993 3947 4702</t>
  </si>
  <si>
    <t>A 4663 4703</t>
  </si>
  <si>
    <t>G 4553 4634 4704</t>
  </si>
  <si>
    <t>A 3999 4707</t>
  </si>
  <si>
    <t>A 4708</t>
  </si>
  <si>
    <t>A 3950 4709</t>
  </si>
  <si>
    <t>G 4600 4713</t>
  </si>
  <si>
    <t>H 1001-1005</t>
  </si>
  <si>
    <t>H 1006-1010</t>
  </si>
  <si>
    <t>H 1011-1015</t>
  </si>
  <si>
    <t>H 1016-1020</t>
  </si>
  <si>
    <t>H 1021-1025</t>
  </si>
  <si>
    <t>010.010-23.37796824</t>
  </si>
  <si>
    <t>BPJS BADAN USAHA SEPTEMBER 2023</t>
  </si>
  <si>
    <t>BPJS BADAN USAHA OKTOBER 2023</t>
  </si>
  <si>
    <t>KO 4682</t>
  </si>
  <si>
    <t>KO 4686</t>
  </si>
  <si>
    <t>G 4689</t>
  </si>
  <si>
    <t>KO 4693</t>
  </si>
  <si>
    <t>KO 4694</t>
  </si>
  <si>
    <t>KO 4758</t>
  </si>
  <si>
    <t>A 2000</t>
  </si>
  <si>
    <t>G 4763</t>
  </si>
  <si>
    <t>G 4755</t>
  </si>
  <si>
    <t>010.011-23.08823781</t>
  </si>
  <si>
    <t>KO 4127</t>
  </si>
  <si>
    <t>KO 4527</t>
  </si>
  <si>
    <t>KO 4757</t>
  </si>
  <si>
    <t>CV-62</t>
  </si>
  <si>
    <t>G 3967 3987 4637 3799</t>
  </si>
  <si>
    <t>KO 4815</t>
  </si>
  <si>
    <t>A 4817</t>
  </si>
  <si>
    <t>A 4818</t>
  </si>
  <si>
    <t>CUCI MOBIL + TAMBAH ANGIN</t>
  </si>
  <si>
    <t>SERVICE DI BENGKEL KUDA MAS</t>
  </si>
  <si>
    <t>SOLAR H 9246 HA</t>
  </si>
  <si>
    <t>PAJAK TAHUNAN STNK H 8366 CQ</t>
  </si>
  <si>
    <t>DOORSMER H 8385 AQ</t>
  </si>
  <si>
    <t>KIER H 8385 AQ</t>
  </si>
  <si>
    <t>ACCU BARU H 8385 AQ</t>
  </si>
  <si>
    <t>PERBAIKAN  MOBIL H 1745 H</t>
  </si>
  <si>
    <t>KIER H 8308 HA</t>
  </si>
  <si>
    <t>PEMBELIAN BAN/RODA H 9246 HA</t>
  </si>
  <si>
    <t>BELI KANEBO DAN PLESTER LUKA</t>
  </si>
  <si>
    <t>MINYAK KAYU PUTIH</t>
  </si>
  <si>
    <t>SERVICE PRINTER CANON MP287</t>
  </si>
  <si>
    <t>ONGKOS SALES (G) 02 - 05 OKT 2023</t>
  </si>
  <si>
    <t>ONGKOS SALES (G) 10 - 13 OKT 2023</t>
  </si>
  <si>
    <t>ONGKOS SALES (G) 18 - 21 OKT 2023</t>
  </si>
  <si>
    <t>01/10/23 - 31/10/23</t>
  </si>
  <si>
    <t>0064452</t>
  </si>
  <si>
    <t>0317093</t>
  </si>
  <si>
    <t>0176075</t>
  </si>
  <si>
    <t>F9863</t>
  </si>
  <si>
    <t>0834565</t>
  </si>
  <si>
    <t>0099221</t>
  </si>
  <si>
    <t>PEMBAYARAN DARI PENJUALAN YANG DIBAYAR TUNAI</t>
  </si>
  <si>
    <t>0810244</t>
  </si>
  <si>
    <t>F9899</t>
  </si>
  <si>
    <t>0896246</t>
  </si>
  <si>
    <t>LO SOEYANTO LOPOLUSI</t>
  </si>
  <si>
    <t>0333513</t>
  </si>
  <si>
    <t>0662704</t>
  </si>
  <si>
    <t>F9902</t>
  </si>
  <si>
    <t>0742736</t>
  </si>
  <si>
    <t>010.010-23.71230409</t>
  </si>
  <si>
    <t>010.010-23.71230663</t>
  </si>
  <si>
    <t>010.010-23.71230664</t>
  </si>
  <si>
    <t>010.010-23.71231128</t>
  </si>
  <si>
    <t>010.010-23.71231129</t>
  </si>
  <si>
    <t>010.010-23.71231396</t>
  </si>
  <si>
    <t>010.010-23.71231620</t>
  </si>
  <si>
    <t>010.010-23.71232023</t>
  </si>
  <si>
    <t>010.010-23.71232053</t>
  </si>
  <si>
    <t>010.010-23.71232289</t>
  </si>
  <si>
    <t>010.010-23.71232567</t>
  </si>
  <si>
    <t>010.010-23.71232571</t>
  </si>
  <si>
    <t>010.010-23.71232572</t>
  </si>
  <si>
    <t>010.010-23.71232573</t>
  </si>
  <si>
    <t>010.010-23.71232968</t>
  </si>
  <si>
    <t>010.010-23.71232998</t>
  </si>
  <si>
    <t>010.010-23.71233342</t>
  </si>
  <si>
    <t>SA231018971</t>
  </si>
  <si>
    <t>010.010-23.71233363</t>
  </si>
  <si>
    <t>010.010-23.71231925</t>
  </si>
  <si>
    <t>010.002-23.26064360</t>
  </si>
  <si>
    <t>010.002-23.26064363</t>
  </si>
  <si>
    <t>010.002-23.26064417</t>
  </si>
  <si>
    <t>010.002-23.26064562</t>
  </si>
  <si>
    <t>010.002-23.26064568</t>
  </si>
  <si>
    <t>010.002-23.26064578</t>
  </si>
  <si>
    <t>010.002-23.26064743</t>
  </si>
  <si>
    <t>010.002-23.26064816</t>
  </si>
  <si>
    <t>010.002-23.26064933</t>
  </si>
  <si>
    <t>010.002-23.26065053</t>
  </si>
  <si>
    <t>010.002-23.26065088</t>
  </si>
  <si>
    <t>010.002-23.26065096</t>
  </si>
  <si>
    <t>010.002-23.26065246</t>
  </si>
  <si>
    <t>010.002-23.26065364</t>
  </si>
  <si>
    <t>010.002-23.26065487</t>
  </si>
  <si>
    <t>010.002-23.26065488</t>
  </si>
  <si>
    <t>010.002-23.26065515</t>
  </si>
  <si>
    <t>010.002-23.26065604</t>
  </si>
  <si>
    <t>KO 4534</t>
  </si>
  <si>
    <t>91.900.788.0-657.000</t>
  </si>
  <si>
    <t>G 4814</t>
  </si>
  <si>
    <t>KO 4538</t>
  </si>
  <si>
    <t>G 4831</t>
  </si>
  <si>
    <t>A 4833</t>
  </si>
  <si>
    <t>G 4907</t>
  </si>
  <si>
    <t>KO 4902</t>
  </si>
  <si>
    <t>G 4775</t>
  </si>
  <si>
    <t>G 4842</t>
  </si>
  <si>
    <t>CV MORNING STAR NUSANTARA (TOKO PELANGI)</t>
  </si>
  <si>
    <t>010.011-23.14828189</t>
  </si>
  <si>
    <t>SN23102292</t>
  </si>
  <si>
    <t>010.012-23.00878909</t>
  </si>
  <si>
    <t>010.012-23.00878914</t>
  </si>
  <si>
    <t>010.012-23.00878917</t>
  </si>
  <si>
    <t>010.012-23.00878927</t>
  </si>
  <si>
    <t>LIE ARMAND ( KUNCI MATAHARI )</t>
  </si>
  <si>
    <t>010.010-23.33242147</t>
  </si>
  <si>
    <t>LL23-211-008 M</t>
  </si>
  <si>
    <t>KO 4911</t>
  </si>
  <si>
    <t>010.002-23.26065701</t>
  </si>
  <si>
    <t>010.002-23.26065749</t>
  </si>
  <si>
    <t>010.002-23.26065867</t>
  </si>
  <si>
    <t>010.002-23.26065926</t>
  </si>
  <si>
    <t>GAJI KARYAWAN HARIAN TETAP (PERIODE 23 OKT - 04 NOV 2023)</t>
  </si>
  <si>
    <t>UANG HADIR KARYAWAN MINGGUAN (PERIODE 30 OKT - 04 NOV 2023)</t>
  </si>
  <si>
    <t>UANG HADIR KARYAWAN MINGGUAN (PERIODE 06 - 11 NOVEMBER 2023)</t>
  </si>
  <si>
    <t>GAJI KARYAWAN HARIAN TETAP (PERIODE 06 - 18 NOVEMBER 2023)</t>
  </si>
  <si>
    <t>UANG HADIR KARYAWAN MINGGUAN (PERIODE 13 - 18 NOVEMBER 2023)</t>
  </si>
  <si>
    <t>UANG HADIR KARYAWAN MINGGUAN (PERIODE 20 - 25 NOVEMBER 2023)</t>
  </si>
  <si>
    <t>A 1495</t>
  </si>
  <si>
    <t>74.951.455.0-515.000</t>
  </si>
  <si>
    <t>CV MULIA JAYA ( RAHAYU SWALAYAN )</t>
  </si>
  <si>
    <t>KO 4919</t>
  </si>
  <si>
    <t>KO 4548</t>
  </si>
  <si>
    <t>G 4924</t>
  </si>
  <si>
    <t>KO 4937</t>
  </si>
  <si>
    <t>JUK204/23</t>
  </si>
  <si>
    <t>SA231119078</t>
  </si>
  <si>
    <t>SA231119199</t>
  </si>
  <si>
    <t>SA231119317</t>
  </si>
  <si>
    <t>SL231100126</t>
  </si>
  <si>
    <t>SA231119355</t>
  </si>
  <si>
    <t>SA231119431</t>
  </si>
  <si>
    <t>SA231119541</t>
  </si>
  <si>
    <t>SA231119646</t>
  </si>
  <si>
    <t>SA231119647</t>
  </si>
  <si>
    <t>SA231119648</t>
  </si>
  <si>
    <t>SA231119768</t>
  </si>
  <si>
    <t>SA231119793</t>
  </si>
  <si>
    <t>SA231119794</t>
  </si>
  <si>
    <t>SA231119795</t>
  </si>
  <si>
    <t>SA231119947</t>
  </si>
  <si>
    <t>SA231119955</t>
  </si>
  <si>
    <t>SA231119956</t>
  </si>
  <si>
    <t>SA231119961</t>
  </si>
  <si>
    <t>SA231120157</t>
  </si>
  <si>
    <t>SA231120271</t>
  </si>
  <si>
    <t>SA231120428</t>
  </si>
  <si>
    <t>SA231120465</t>
  </si>
  <si>
    <t>SA231120478</t>
  </si>
  <si>
    <t>HMP/079/11-23</t>
  </si>
  <si>
    <t>005758</t>
  </si>
  <si>
    <t>005761</t>
  </si>
  <si>
    <t>005771</t>
  </si>
  <si>
    <t>005753</t>
  </si>
  <si>
    <t>JL-80191</t>
  </si>
  <si>
    <t>23110022</t>
  </si>
  <si>
    <t>23110025</t>
  </si>
  <si>
    <t>23110078</t>
  </si>
  <si>
    <t>23110133</t>
  </si>
  <si>
    <t>23110139</t>
  </si>
  <si>
    <t>23110149</t>
  </si>
  <si>
    <t>23110238</t>
  </si>
  <si>
    <t>23110369</t>
  </si>
  <si>
    <t>23110489</t>
  </si>
  <si>
    <t>23110524</t>
  </si>
  <si>
    <t>23110532</t>
  </si>
  <si>
    <t>23110681</t>
  </si>
  <si>
    <t>23110799</t>
  </si>
  <si>
    <t>23110921</t>
  </si>
  <si>
    <t>23110922</t>
  </si>
  <si>
    <t>23110949</t>
  </si>
  <si>
    <t>23111038</t>
  </si>
  <si>
    <t>23111135</t>
  </si>
  <si>
    <t>23111183</t>
  </si>
  <si>
    <t>23111301</t>
  </si>
  <si>
    <t>23111445</t>
  </si>
  <si>
    <t>23111595</t>
  </si>
  <si>
    <t>23111619</t>
  </si>
  <si>
    <t>23111713</t>
  </si>
  <si>
    <t>23111733</t>
  </si>
  <si>
    <t>23111828</t>
  </si>
  <si>
    <t>23111894</t>
  </si>
  <si>
    <t>23111923</t>
  </si>
  <si>
    <t>KO 4876</t>
  </si>
  <si>
    <t>A 4949</t>
  </si>
  <si>
    <t>KO 0505</t>
  </si>
  <si>
    <t>KO 4816</t>
  </si>
  <si>
    <t>G 0506</t>
  </si>
  <si>
    <t>KO 0511</t>
  </si>
  <si>
    <t>010.002-23.26066011</t>
  </si>
  <si>
    <t>010.002-23.26066160</t>
  </si>
  <si>
    <t>010.002-23.26066184</t>
  </si>
  <si>
    <t>010.002-23.26066278</t>
  </si>
  <si>
    <t>010.002-23.26066298</t>
  </si>
  <si>
    <t>010.002-23.26066394</t>
  </si>
  <si>
    <t>010.002-23.26066460</t>
  </si>
  <si>
    <t>010.002-23.26066489</t>
  </si>
  <si>
    <t>010.002-23.26066564</t>
  </si>
  <si>
    <t>010.002-23.26066671</t>
  </si>
  <si>
    <t>010.002-23.26066672</t>
  </si>
  <si>
    <t>010.002-23.26066682</t>
  </si>
  <si>
    <t>010.002-23.26066804</t>
  </si>
  <si>
    <t>01/11/23 - 30/11/23</t>
  </si>
  <si>
    <t>914480</t>
  </si>
  <si>
    <t>0399100</t>
  </si>
  <si>
    <t>Nota No.001990 Tk. Armada Pwt SANTOSO BUD</t>
  </si>
  <si>
    <t>0151273</t>
  </si>
  <si>
    <t>914481</t>
  </si>
  <si>
    <t>914500</t>
  </si>
  <si>
    <t>0295462</t>
  </si>
  <si>
    <t>922901</t>
  </si>
  <si>
    <t>0172481</t>
  </si>
  <si>
    <t>0317094</t>
  </si>
  <si>
    <t>0500830</t>
  </si>
  <si>
    <t>0396599</t>
  </si>
  <si>
    <t>0547509</t>
  </si>
  <si>
    <t>ROBIN SUSANTO R</t>
  </si>
  <si>
    <t>PEMBAYARAN DARI ROBIN SUSANTO (HIDUP BARU) JOMBANG</t>
  </si>
  <si>
    <t>KO 0528</t>
  </si>
  <si>
    <t>KO 0529</t>
  </si>
  <si>
    <t>23111998</t>
  </si>
  <si>
    <t>23112105</t>
  </si>
  <si>
    <t>23112106</t>
  </si>
  <si>
    <t>23112116</t>
  </si>
  <si>
    <t>23112238</t>
  </si>
  <si>
    <t>G 0523</t>
  </si>
  <si>
    <t>010.010-23.71233535</t>
  </si>
  <si>
    <t>SA231119018</t>
  </si>
  <si>
    <t>010.010-23.71233575</t>
  </si>
  <si>
    <t>SA231119058</t>
  </si>
  <si>
    <t>010.010-23.71233756</t>
  </si>
  <si>
    <t>010.010-23.71234033</t>
  </si>
  <si>
    <t>010.010-23.71234597</t>
  </si>
  <si>
    <t>010.010-23.71234816</t>
  </si>
  <si>
    <t>010.010-23.71235054</t>
  </si>
  <si>
    <t>010.010-23.71235346</t>
  </si>
  <si>
    <t>010.010-23.71235603</t>
  </si>
  <si>
    <t>010.010-23.71235604</t>
  </si>
  <si>
    <t>010.010-23.71235605</t>
  </si>
  <si>
    <t>010.010-23.71236038</t>
  </si>
  <si>
    <t>010.010-23.71236063</t>
  </si>
  <si>
    <t>010.010-23.71236064</t>
  </si>
  <si>
    <t>010.010-23.71236065</t>
  </si>
  <si>
    <t>010.010-23.71234291</t>
  </si>
  <si>
    <t>010.011-23.14828188</t>
  </si>
  <si>
    <t>SN23102291</t>
  </si>
  <si>
    <t>A 4718</t>
  </si>
  <si>
    <t>BATA</t>
  </si>
  <si>
    <t>A 4719</t>
  </si>
  <si>
    <t>G 4720</t>
  </si>
  <si>
    <t>A 4684</t>
  </si>
  <si>
    <t>A 4687</t>
  </si>
  <si>
    <t>INDOGLOBAL</t>
  </si>
  <si>
    <t>G 4690</t>
  </si>
  <si>
    <t>G 4721</t>
  </si>
  <si>
    <t>KO 4729</t>
  </si>
  <si>
    <t>KO 4730</t>
  </si>
  <si>
    <t>A 4731</t>
  </si>
  <si>
    <t>A 4802</t>
  </si>
  <si>
    <t>A 4683 4805</t>
  </si>
  <si>
    <t>G 4733</t>
  </si>
  <si>
    <t>G 4734</t>
  </si>
  <si>
    <t>TOKO 107</t>
  </si>
  <si>
    <t>A 4736</t>
  </si>
  <si>
    <t>G 4754</t>
  </si>
  <si>
    <t>G 4716 4717 4756</t>
  </si>
  <si>
    <t>KO 4675 4732 4759</t>
  </si>
  <si>
    <t>KO 4676 4727 4760</t>
  </si>
  <si>
    <t>KO 4722 4723 4762</t>
  </si>
  <si>
    <t>KO 4523 4528 3281</t>
  </si>
  <si>
    <t>KO 4530 4532</t>
  </si>
  <si>
    <t>KO 3282 4533</t>
  </si>
  <si>
    <t>KO 4698 4767 4811</t>
  </si>
  <si>
    <t>SULUNG</t>
  </si>
  <si>
    <t>A 4771 4806 4738</t>
  </si>
  <si>
    <t>KO 4743</t>
  </si>
  <si>
    <t>A 4744</t>
  </si>
  <si>
    <t>CENDRAWASIH</t>
  </si>
  <si>
    <t>A 4819</t>
  </si>
  <si>
    <t>G 4820</t>
  </si>
  <si>
    <t>KO 4821</t>
  </si>
  <si>
    <t>G 4747</t>
  </si>
  <si>
    <t>G 4749 4750</t>
  </si>
  <si>
    <t>KO 4525 4529 4536</t>
  </si>
  <si>
    <t>KO 4531 4537 4541</t>
  </si>
  <si>
    <t>KO 4542</t>
  </si>
  <si>
    <t>KO 4822</t>
  </si>
  <si>
    <t>G 3284 4823</t>
  </si>
  <si>
    <t>G 4768 4813 4824</t>
  </si>
  <si>
    <t>KO 4804 4825</t>
  </si>
  <si>
    <t>G 4830</t>
  </si>
  <si>
    <t>MUBAROK</t>
  </si>
  <si>
    <t>PANGLIMA BESAR STATIONERY</t>
  </si>
  <si>
    <t>KO 4770 4827 4836</t>
  </si>
  <si>
    <t>A 4904</t>
  </si>
  <si>
    <t>A 4688 4753 4906</t>
  </si>
  <si>
    <t>G 4801 4742 4908</t>
  </si>
  <si>
    <t>KO 4728 4773 4910</t>
  </si>
  <si>
    <t>KO 4839</t>
  </si>
  <si>
    <t>G 4843</t>
  </si>
  <si>
    <t>G 4695 4915</t>
  </si>
  <si>
    <t>G 4712 4752 4916</t>
  </si>
  <si>
    <t>KO 4828 4840 4846</t>
  </si>
  <si>
    <t>G 4848</t>
  </si>
  <si>
    <t>KO 4761 4826 4849</t>
  </si>
  <si>
    <t>G 4850</t>
  </si>
  <si>
    <t>HARKAT</t>
  </si>
  <si>
    <t>KO 3283 4546</t>
  </si>
  <si>
    <t>KO 4524 4544 4549</t>
  </si>
  <si>
    <t>KO 4545 4547 4550</t>
  </si>
  <si>
    <t>G 4751 4841 4918</t>
  </si>
  <si>
    <t>KO 4829 4905 4920</t>
  </si>
  <si>
    <t>A 4921</t>
  </si>
  <si>
    <t>KO 4809 4922</t>
  </si>
  <si>
    <t>KO 4914 4923</t>
  </si>
  <si>
    <t>KO 4807 4844 4925</t>
  </si>
  <si>
    <t>KO 4845 4926</t>
  </si>
  <si>
    <t>KO 4766 4929</t>
  </si>
  <si>
    <t>KO 4930</t>
  </si>
  <si>
    <t>010.010-23.69482892</t>
  </si>
  <si>
    <t>010.010-23.69483138</t>
  </si>
  <si>
    <t>KO 4741 4936</t>
  </si>
  <si>
    <t>011.012-23.31627134</t>
  </si>
  <si>
    <t>G 4715 4942</t>
  </si>
  <si>
    <t>KO 4692 4765 4944</t>
  </si>
  <si>
    <t>G 4699 4812 4945</t>
  </si>
  <si>
    <t>A 4946</t>
  </si>
  <si>
    <t>TOTEM</t>
  </si>
  <si>
    <t>TEMBALANG</t>
  </si>
  <si>
    <t>KO 4950</t>
  </si>
  <si>
    <t>KO 588 596</t>
  </si>
  <si>
    <t>H 589 594</t>
  </si>
  <si>
    <t>KO 4851</t>
  </si>
  <si>
    <t>KO 4852</t>
  </si>
  <si>
    <t>G 4853 4854</t>
  </si>
  <si>
    <t>KO 4808 4855</t>
  </si>
  <si>
    <t>A 4856</t>
  </si>
  <si>
    <t>G 4857</t>
  </si>
  <si>
    <t>G 4858 4859 4860</t>
  </si>
  <si>
    <t>A 4838 4861</t>
  </si>
  <si>
    <t>A 4862</t>
  </si>
  <si>
    <t>G 4863</t>
  </si>
  <si>
    <t>G 4864</t>
  </si>
  <si>
    <t>KO 4725 4941 4865</t>
  </si>
  <si>
    <t>A 4913 4867</t>
  </si>
  <si>
    <t>A 4769 4868</t>
  </si>
  <si>
    <t>A 4735 4871</t>
  </si>
  <si>
    <t>G 4737 4746 4872</t>
  </si>
  <si>
    <t>KO 4837 4873</t>
  </si>
  <si>
    <t>G 4874 4875</t>
  </si>
  <si>
    <t>G 4877</t>
  </si>
  <si>
    <t>A 4878</t>
  </si>
  <si>
    <t>SANDI</t>
  </si>
  <si>
    <t>A 4932 4879</t>
  </si>
  <si>
    <t>KO 4880</t>
  </si>
  <si>
    <t>G 4881 4882</t>
  </si>
  <si>
    <t>G 0501</t>
  </si>
  <si>
    <t>G 4866 0502</t>
  </si>
  <si>
    <t>G 4931 4940 0503</t>
  </si>
  <si>
    <t>KO 4934 0507</t>
  </si>
  <si>
    <t>KO 4869 4938 0508</t>
  </si>
  <si>
    <t>KO 4748 4917 0509</t>
  </si>
  <si>
    <t>A 4834 0510</t>
  </si>
  <si>
    <t>KO 4884 0512</t>
  </si>
  <si>
    <t>KO 4681 4901 0513</t>
  </si>
  <si>
    <t>A 0514</t>
  </si>
  <si>
    <t>G 0515</t>
  </si>
  <si>
    <t>G 4726 4947 0516</t>
  </si>
  <si>
    <t>KO 4685 4772 0517</t>
  </si>
  <si>
    <t>KO 0518</t>
  </si>
  <si>
    <t>KO 3285 0520</t>
  </si>
  <si>
    <t>KO 4847 4933 0522</t>
  </si>
  <si>
    <t>KO 0524</t>
  </si>
  <si>
    <t>G 4948 0525</t>
  </si>
  <si>
    <t>KO 0526</t>
  </si>
  <si>
    <t>KO 0527</t>
  </si>
  <si>
    <t>KO 0531</t>
  </si>
  <si>
    <t>A 4714 0533</t>
  </si>
  <si>
    <t>KO 0504 0534</t>
  </si>
  <si>
    <t>KO 4697 0538</t>
  </si>
  <si>
    <t>BENGAWAN RETAIL MANDIRI</t>
  </si>
  <si>
    <t>N 1480 - 1489</t>
  </si>
  <si>
    <t>A 1496 1490- 1494</t>
  </si>
  <si>
    <t>KO 4128</t>
  </si>
  <si>
    <t>KO 4129</t>
  </si>
  <si>
    <t>KO 4535 4540 4543</t>
  </si>
  <si>
    <t>SA231120523</t>
  </si>
  <si>
    <t>SA231120559</t>
  </si>
  <si>
    <t>SA231120581</t>
  </si>
  <si>
    <t>SA231120618</t>
  </si>
  <si>
    <t>SA231120688</t>
  </si>
  <si>
    <t>SA231120722</t>
  </si>
  <si>
    <t>SA231120878</t>
  </si>
  <si>
    <t>HMP/070/11-23</t>
  </si>
  <si>
    <t>HMP/083/11-23</t>
  </si>
  <si>
    <t>JUK430/23</t>
  </si>
  <si>
    <t>SN23112842</t>
  </si>
  <si>
    <t>KO 4739 1307 4909</t>
  </si>
  <si>
    <t>A 600 590 591 593</t>
  </si>
  <si>
    <t>A 595 597 598 599</t>
  </si>
  <si>
    <t>A 4696</t>
  </si>
  <si>
    <t>H 1161 - 1170</t>
  </si>
  <si>
    <t>H 1171 - 1180</t>
  </si>
  <si>
    <t>H 1181 - 1190</t>
  </si>
  <si>
    <t>H 1190 - 1199</t>
  </si>
  <si>
    <t>H 1151 - 1160</t>
  </si>
  <si>
    <t>H 1141 - 1150</t>
  </si>
  <si>
    <t>H 1131 - 1140</t>
  </si>
  <si>
    <t>H 1121 - 1130</t>
  </si>
  <si>
    <t>23110251</t>
  </si>
  <si>
    <t>23111360</t>
  </si>
  <si>
    <t>010.010-23.77510390</t>
  </si>
  <si>
    <t>010.012-23.42200834</t>
  </si>
  <si>
    <t>HMP/077</t>
  </si>
  <si>
    <t>010.012-23.42200835</t>
  </si>
  <si>
    <t>010.012-23.42200849</t>
  </si>
  <si>
    <t>010.011-23.14829037</t>
  </si>
  <si>
    <t>010.010-23.71236568</t>
  </si>
  <si>
    <t>010.010-23.71236576</t>
  </si>
  <si>
    <t>010.010-23.71236577</t>
  </si>
  <si>
    <t>010.010-23.71236582</t>
  </si>
  <si>
    <t>010.012-23.64968114</t>
  </si>
  <si>
    <t>010.012-23.64968359</t>
  </si>
  <si>
    <t>010.012-23.64968792</t>
  </si>
  <si>
    <t>010.012-23.64968829</t>
  </si>
  <si>
    <t>010.012-23.64968842</t>
  </si>
  <si>
    <t>010.012-23.64969060</t>
  </si>
  <si>
    <t>010.012-23.64969261</t>
  </si>
  <si>
    <t>010.012-23.64969283</t>
  </si>
  <si>
    <t>010.012-23.64969448</t>
  </si>
  <si>
    <t>010.012-23.64969634</t>
  </si>
  <si>
    <t>010.012-23.64969825</t>
  </si>
  <si>
    <t>010.012-23.64970185</t>
  </si>
  <si>
    <t>G 4700</t>
  </si>
  <si>
    <t>H 1111 - 1120</t>
  </si>
  <si>
    <t>010.012-23.39680191</t>
  </si>
  <si>
    <t>BPJS BADAN USAHA NOVEMBER 2023</t>
  </si>
  <si>
    <t>SERVICE PRINTER EPSON L3110</t>
  </si>
  <si>
    <t>CUCI MOBIL + MINYAK KARAT WD40</t>
  </si>
  <si>
    <t>PERBAIKAN + SERVICE H 8385 AQ</t>
  </si>
  <si>
    <t>BELI KLEM MOBIL</t>
  </si>
  <si>
    <t>BELI MUR BAUT</t>
  </si>
  <si>
    <t>SOLAR H 1136 HP</t>
  </si>
  <si>
    <t>BBM JENSET</t>
  </si>
  <si>
    <t>BAN LUAR BARU</t>
  </si>
  <si>
    <t>ONGKOS SALES (G) 24 - 26 OKT 2023</t>
  </si>
  <si>
    <t>ONGKOS SALES (G) 30 OKT-03 NOV '23</t>
  </si>
  <si>
    <t>ONGKOS SALES (G) 07 - 11 NOV 2023</t>
  </si>
  <si>
    <t>ONGKOS SALES (G) 14 - 17 NOV 2023</t>
  </si>
  <si>
    <t>ONGKOS SALES (G) 21 - 24 NOV 2023</t>
  </si>
  <si>
    <t>ONGKOS SALES (G) 27 - 30 NOV 2023</t>
  </si>
  <si>
    <t>G 0536</t>
  </si>
  <si>
    <t>A 0539</t>
  </si>
  <si>
    <t>KO 0551</t>
  </si>
  <si>
    <t>A 0553</t>
  </si>
  <si>
    <t>KO 0554</t>
  </si>
  <si>
    <t>KO 4960</t>
  </si>
  <si>
    <t>KO 0570</t>
  </si>
  <si>
    <t>G 0568</t>
  </si>
  <si>
    <t>KO 3287</t>
  </si>
  <si>
    <t>G 0604</t>
  </si>
  <si>
    <t>01.932.430.0-524.000</t>
  </si>
  <si>
    <t>PT HASTA KENCANA SAKTI ( TRIO PLAZA)</t>
  </si>
  <si>
    <t>KO 4778</t>
  </si>
  <si>
    <t>G 4783</t>
  </si>
  <si>
    <t>G 4791</t>
  </si>
  <si>
    <t>G 4792</t>
  </si>
  <si>
    <t>G 4789</t>
  </si>
  <si>
    <t>KO 4788</t>
  </si>
  <si>
    <t>KO 3296</t>
  </si>
  <si>
    <t>KO 0654</t>
  </si>
  <si>
    <t>G 0705</t>
  </si>
  <si>
    <t>G 0660</t>
  </si>
  <si>
    <t>A 0665</t>
  </si>
  <si>
    <t>KO 0666</t>
  </si>
  <si>
    <t>KO 0667</t>
  </si>
  <si>
    <t>KO 0670</t>
  </si>
  <si>
    <t>KO 0671</t>
  </si>
  <si>
    <t>KO 0682</t>
  </si>
  <si>
    <t>G 0661</t>
  </si>
  <si>
    <t>010.012-23.00878959</t>
  </si>
  <si>
    <t>010.011-23.64762243</t>
  </si>
  <si>
    <t>L112004 / LL23-112-004 M</t>
  </si>
  <si>
    <t>010.002-23.26066865</t>
  </si>
  <si>
    <t>010.002-23.26066983</t>
  </si>
  <si>
    <t>010.002-23.26067077</t>
  </si>
  <si>
    <t>010.002-23.26067171</t>
  </si>
  <si>
    <t>010.002-23.26067172</t>
  </si>
  <si>
    <t>010.002-23.26067240</t>
  </si>
  <si>
    <t>010.002-23.26067370</t>
  </si>
  <si>
    <t>010.002-23.26067454</t>
  </si>
  <si>
    <t>010.002-23.26067521</t>
  </si>
  <si>
    <t>010.002-23.26067522</t>
  </si>
  <si>
    <t>010.002-23.26067541</t>
  </si>
  <si>
    <t>010.002-23.26067677</t>
  </si>
  <si>
    <t>010.002-23.26067752</t>
  </si>
  <si>
    <t>010.002-23.26067793</t>
  </si>
  <si>
    <t>010.002-23.26067806</t>
  </si>
  <si>
    <t>010.002-23.26067995</t>
  </si>
  <si>
    <t>010.002-23.26068147</t>
  </si>
  <si>
    <t>010.002-23.26068275</t>
  </si>
  <si>
    <t>010.002-23.26068282</t>
  </si>
  <si>
    <t>010.002-23.26068325</t>
  </si>
  <si>
    <t>G 0639</t>
  </si>
  <si>
    <t>GAJI KARYAWAN HARIAN TETAP (PERIODE 20 NOV - 02 DES 2023)</t>
  </si>
  <si>
    <t>UANG HADIR KARYAWAN MINGGUAN (PERIODE 27 NOV - 02 DES 2023)</t>
  </si>
  <si>
    <t>BPJS BADAN USAHA DESEMBER 2023</t>
  </si>
  <si>
    <t>UANG HADIR KARYAWAN MINGGUAN (PERIODE 04 - 09 DESEMBER 2023)</t>
  </si>
  <si>
    <t>GAJI KARYAWAN HARIAN TETAP (PERIODE 04 - 16 DESEMBER 2023)</t>
  </si>
  <si>
    <t>UANG HADIR KARYAWAN MINGGUAN (PERIODE 11 - 16 DESEMBER 2023)</t>
  </si>
  <si>
    <t>UANG HADIR KARYAWAN MINGGUAN (PERIODE 18 - 23 DESEMBER 2023)</t>
  </si>
  <si>
    <t>GAJI KARYAWAN HARIAN TETAP (PERIODE 18 - 30 DESEMBER 2023)</t>
  </si>
  <si>
    <t>UANG HADIR KARYAWAN MINGGUAN (PERIODE 26 - 30 DESEMBER 2023)</t>
  </si>
  <si>
    <t>SA231220918</t>
  </si>
  <si>
    <t>SA231220973</t>
  </si>
  <si>
    <t>SA231221058</t>
  </si>
  <si>
    <t>SA231221072</t>
  </si>
  <si>
    <t>SA231221124</t>
  </si>
  <si>
    <t>SA231221125</t>
  </si>
  <si>
    <t>SA231221145</t>
  </si>
  <si>
    <t>SA231221161</t>
  </si>
  <si>
    <t>SA231221261</t>
  </si>
  <si>
    <t>SA231221262</t>
  </si>
  <si>
    <t>SA231221303</t>
  </si>
  <si>
    <t>SA231221304</t>
  </si>
  <si>
    <t>SA231221305</t>
  </si>
  <si>
    <t>SA231221377</t>
  </si>
  <si>
    <t>SA231221478</t>
  </si>
  <si>
    <t>SA231221565</t>
  </si>
  <si>
    <t>SA231221566</t>
  </si>
  <si>
    <t>SA231221567</t>
  </si>
  <si>
    <t>SA231221568</t>
  </si>
  <si>
    <t>SA231221640</t>
  </si>
  <si>
    <t>SA231221641</t>
  </si>
  <si>
    <t>SA231221669</t>
  </si>
  <si>
    <t>SA231221731</t>
  </si>
  <si>
    <t>SA231221756</t>
  </si>
  <si>
    <t>SA231221786</t>
  </si>
  <si>
    <t>SA231221809</t>
  </si>
  <si>
    <t>SA231221921</t>
  </si>
  <si>
    <t>SA231221965</t>
  </si>
  <si>
    <t>23120006</t>
  </si>
  <si>
    <t>23120046</t>
  </si>
  <si>
    <t>23120089</t>
  </si>
  <si>
    <t>23120124</t>
  </si>
  <si>
    <t>23120125</t>
  </si>
  <si>
    <t>23120150</t>
  </si>
  <si>
    <t>23120280</t>
  </si>
  <si>
    <t>23120364</t>
  </si>
  <si>
    <t>23120431</t>
  </si>
  <si>
    <t>23120432</t>
  </si>
  <si>
    <t>23120451</t>
  </si>
  <si>
    <t>23120587</t>
  </si>
  <si>
    <t>23120662</t>
  </si>
  <si>
    <t>23120703</t>
  </si>
  <si>
    <t>23120716</t>
  </si>
  <si>
    <t>23120905</t>
  </si>
  <si>
    <t>23121057</t>
  </si>
  <si>
    <t>23121185</t>
  </si>
  <si>
    <t>23121192</t>
  </si>
  <si>
    <t>23121235</t>
  </si>
  <si>
    <t>23121423</t>
  </si>
  <si>
    <t>23121436</t>
  </si>
  <si>
    <t>23121453</t>
  </si>
  <si>
    <t>23121486</t>
  </si>
  <si>
    <t>23121647</t>
  </si>
  <si>
    <t>23121739</t>
  </si>
  <si>
    <t>23121806</t>
  </si>
  <si>
    <t>SN23122992</t>
  </si>
  <si>
    <t>HMP/ 085/ 12-23</t>
  </si>
  <si>
    <t>5803</t>
  </si>
  <si>
    <t>JL-74280</t>
  </si>
  <si>
    <t>JL-74422</t>
  </si>
  <si>
    <t>JL-74452</t>
  </si>
  <si>
    <t>LMA 2023-12-004</t>
  </si>
  <si>
    <t>KO 0764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</si>
</sst>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1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1002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7" fillId="0" borderId="43" xfId="0" applyNumberFormat="1" applyFont="1" applyFill="1" applyBorder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3" fontId="78" fillId="0" borderId="43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79" fillId="0" borderId="0" xfId="0" applyNumberFormat="1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1" fillId="0" borderId="75" xfId="0" applyFont="1" applyFill="1" applyBorder="1" applyAlignment="1">
      <alignment horizontal="left" vertical="center" wrapText="1"/>
    </xf>
    <xf numFmtId="0" fontId="81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2" fillId="0" borderId="75" xfId="0" applyNumberFormat="1" applyFont="1" applyFill="1" applyBorder="1" applyAlignment="1">
      <alignment vertical="center"/>
    </xf>
    <xf numFmtId="3" fontId="82" fillId="0" borderId="75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0" fontId="81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41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16" fontId="58" fillId="0" borderId="75" xfId="0" quotePrefix="1" applyNumberFormat="1" applyFont="1" applyFill="1" applyBorder="1" applyAlignment="1">
      <alignment vertical="center" wrapText="1"/>
    </xf>
    <xf numFmtId="164" fontId="74" fillId="0" borderId="75" xfId="0" applyNumberFormat="1" applyFont="1" applyFill="1" applyBorder="1" applyAlignment="1">
      <alignment vertical="center" wrapText="1"/>
    </xf>
    <xf numFmtId="3" fontId="74" fillId="0" borderId="75" xfId="0" applyNumberFormat="1" applyFont="1" applyFill="1" applyBorder="1" applyAlignment="1">
      <alignment vertical="center" wrapText="1"/>
    </xf>
    <xf numFmtId="3" fontId="2" fillId="0" borderId="109" xfId="0" applyNumberFormat="1" applyFont="1" applyFill="1" applyBorder="1" applyAlignment="1">
      <alignment horizontal="center" vertical="center"/>
    </xf>
    <xf numFmtId="164" fontId="2" fillId="0" borderId="110" xfId="2" applyFont="1" applyFill="1" applyBorder="1" applyAlignment="1">
      <alignment horizontal="center" vertical="center"/>
    </xf>
    <xf numFmtId="165" fontId="41" fillId="0" borderId="0" xfId="0" applyNumberFormat="1" applyFont="1" applyFill="1" applyAlignment="1">
      <alignment vertical="center"/>
    </xf>
    <xf numFmtId="0" fontId="3" fillId="10" borderId="7" xfId="4" applyFont="1" applyFill="1" applyBorder="1" applyAlignment="1">
      <alignment horizontal="center" vertical="center"/>
    </xf>
    <xf numFmtId="0" fontId="3" fillId="10" borderId="7" xfId="0" applyNumberFormat="1" applyFont="1" applyFill="1" applyBorder="1" applyAlignment="1">
      <alignment vertical="center"/>
    </xf>
    <xf numFmtId="0" fontId="3" fillId="10" borderId="7" xfId="0" quotePrefix="1" applyNumberFormat="1" applyFont="1" applyFill="1" applyBorder="1" applyAlignment="1">
      <alignment horizontal="center" vertical="center"/>
    </xf>
    <xf numFmtId="0" fontId="3" fillId="10" borderId="7" xfId="0" applyNumberFormat="1" applyFont="1" applyFill="1" applyBorder="1" applyAlignment="1">
      <alignment horizontal="center" vertical="center"/>
    </xf>
    <xf numFmtId="172" fontId="3" fillId="10" borderId="58" xfId="0" applyNumberFormat="1" applyFont="1" applyFill="1" applyBorder="1" applyAlignment="1">
      <alignment horizontal="center" vertical="center"/>
    </xf>
    <xf numFmtId="164" fontId="3" fillId="10" borderId="91" xfId="2" applyNumberFormat="1" applyFont="1" applyFill="1" applyBorder="1" applyAlignment="1">
      <alignment horizontal="center" vertical="center"/>
    </xf>
    <xf numFmtId="164" fontId="3" fillId="10" borderId="7" xfId="2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vertical="center"/>
    </xf>
    <xf numFmtId="3" fontId="3" fillId="10" borderId="58" xfId="0" applyNumberFormat="1" applyFont="1" applyFill="1" applyBorder="1" applyAlignment="1">
      <alignment vertical="center"/>
    </xf>
    <xf numFmtId="3" fontId="3" fillId="10" borderId="92" xfId="0" applyNumberFormat="1" applyFont="1" applyFill="1" applyBorder="1" applyAlignment="1">
      <alignment vertical="center"/>
    </xf>
    <xf numFmtId="164" fontId="3" fillId="11" borderId="7" xfId="0" applyNumberFormat="1" applyFont="1" applyFill="1" applyBorder="1" applyAlignment="1">
      <alignment vertical="center"/>
    </xf>
    <xf numFmtId="164" fontId="3" fillId="10" borderId="7" xfId="0" applyNumberFormat="1" applyFont="1" applyFill="1" applyBorder="1" applyAlignment="1">
      <alignment vertical="center"/>
    </xf>
    <xf numFmtId="164" fontId="3" fillId="10" borderId="11" xfId="0" applyNumberFormat="1" applyFont="1" applyFill="1" applyBorder="1" applyAlignment="1">
      <alignment vertical="center"/>
    </xf>
    <xf numFmtId="164" fontId="3" fillId="10" borderId="7" xfId="0" applyNumberFormat="1" applyFont="1" applyFill="1" applyBorder="1" applyAlignment="1">
      <alignment horizontal="center" vertical="center"/>
    </xf>
    <xf numFmtId="164" fontId="3" fillId="10" borderId="7" xfId="0" applyNumberFormat="1" applyFont="1" applyFill="1" applyBorder="1" applyAlignment="1">
      <alignment horizontal="right" vertical="center"/>
    </xf>
    <xf numFmtId="0" fontId="0" fillId="10" borderId="0" xfId="0" applyFill="1" applyAlignment="1"/>
    <xf numFmtId="0" fontId="17" fillId="9" borderId="87" xfId="0" quotePrefix="1" applyFont="1" applyFill="1" applyBorder="1" applyAlignment="1">
      <alignment horizontal="center" vertical="center"/>
    </xf>
    <xf numFmtId="4" fontId="38" fillId="9" borderId="7" xfId="2" applyNumberFormat="1" applyFont="1" applyFill="1" applyBorder="1" applyAlignment="1">
      <alignment horizontal="left"/>
    </xf>
    <xf numFmtId="0" fontId="17" fillId="9" borderId="7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left"/>
    </xf>
    <xf numFmtId="0" fontId="17" fillId="9" borderId="7" xfId="0" applyFont="1" applyFill="1" applyBorder="1"/>
    <xf numFmtId="175" fontId="17" fillId="9" borderId="7" xfId="0" applyNumberFormat="1" applyFont="1" applyFill="1" applyBorder="1"/>
    <xf numFmtId="41" fontId="38" fillId="9" borderId="11" xfId="2" applyNumberFormat="1" applyFont="1" applyFill="1" applyBorder="1" applyAlignment="1"/>
    <xf numFmtId="4" fontId="38" fillId="9" borderId="7" xfId="2" applyNumberFormat="1" applyFont="1" applyFill="1" applyBorder="1" applyAlignment="1"/>
    <xf numFmtId="0" fontId="17" fillId="9" borderId="85" xfId="0" quotePrefix="1" applyFont="1" applyFill="1" applyBorder="1" applyAlignment="1">
      <alignment horizontal="center" vertical="center"/>
    </xf>
    <xf numFmtId="41" fontId="38" fillId="9" borderId="7" xfId="2" applyNumberFormat="1" applyFont="1" applyFill="1" applyBorder="1" applyAlignment="1"/>
    <xf numFmtId="0" fontId="38" fillId="0" borderId="87" xfId="0" quotePrefix="1" applyFont="1" applyFill="1" applyBorder="1" applyAlignment="1">
      <alignment horizontal="center" vertical="center"/>
    </xf>
    <xf numFmtId="0" fontId="68" fillId="0" borderId="7" xfId="0" applyFont="1" applyFill="1" applyBorder="1" applyAlignment="1">
      <alignment horizontal="center" vertical="center"/>
    </xf>
    <xf numFmtId="175" fontId="38" fillId="0" borderId="11" xfId="0" applyNumberFormat="1" applyFont="1" applyFill="1" applyBorder="1"/>
    <xf numFmtId="0" fontId="20" fillId="0" borderId="0" xfId="0" applyFont="1" applyFill="1" applyAlignment="1">
      <alignment horizontal="center"/>
    </xf>
    <xf numFmtId="164" fontId="74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0" fontId="17" fillId="0" borderId="112" xfId="0" applyFont="1" applyFill="1" applyBorder="1" applyAlignment="1">
      <alignment horizontal="center"/>
    </xf>
    <xf numFmtId="164" fontId="17" fillId="0" borderId="113" xfId="2" applyFont="1" applyFill="1" applyBorder="1"/>
    <xf numFmtId="0" fontId="33" fillId="0" borderId="54" xfId="0" applyFont="1" applyBorder="1" applyAlignment="1">
      <alignment horizontal="center"/>
    </xf>
    <xf numFmtId="164" fontId="33" fillId="0" borderId="55" xfId="2" applyFont="1" applyBorder="1" applyAlignment="1">
      <alignment horizontal="center"/>
    </xf>
    <xf numFmtId="0" fontId="33" fillId="0" borderId="53" xfId="0" applyFont="1" applyBorder="1" applyAlignment="1"/>
    <xf numFmtId="0" fontId="16" fillId="0" borderId="111" xfId="0" applyFont="1" applyFill="1" applyBorder="1" applyAlignment="1"/>
    <xf numFmtId="0" fontId="17" fillId="0" borderId="5" xfId="0" applyFont="1" applyFill="1" applyBorder="1" applyAlignment="1"/>
    <xf numFmtId="0" fontId="17" fillId="0" borderId="5" xfId="0" applyFont="1" applyFill="1" applyBorder="1" applyAlignment="1">
      <alignment horizontal="left"/>
    </xf>
    <xf numFmtId="0" fontId="17" fillId="0" borderId="5" xfId="0" applyFont="1" applyFill="1" applyBorder="1"/>
    <xf numFmtId="41" fontId="0" fillId="0" borderId="3" xfId="0" applyNumberFormat="1" applyBorder="1" applyAlignment="1">
      <alignment vertical="center"/>
    </xf>
    <xf numFmtId="0" fontId="33" fillId="0" borderId="54" xfId="0" applyFont="1" applyBorder="1" applyAlignment="1"/>
    <xf numFmtId="0" fontId="16" fillId="0" borderId="112" xfId="0" applyFont="1" applyFill="1" applyBorder="1" applyAlignment="1"/>
    <xf numFmtId="3" fontId="3" fillId="0" borderId="0" xfId="2" applyNumberFormat="1" applyFont="1" applyFill="1" applyBorder="1" applyAlignment="1">
      <alignment vertical="center"/>
    </xf>
    <xf numFmtId="0" fontId="17" fillId="9" borderId="0" xfId="0" applyFont="1" applyFill="1" applyAlignment="1">
      <alignment horizontal="center" vertical="center"/>
    </xf>
    <xf numFmtId="0" fontId="38" fillId="9" borderId="7" xfId="0" applyFont="1" applyFill="1" applyBorder="1" applyAlignment="1">
      <alignment horizontal="center"/>
    </xf>
    <xf numFmtId="0" fontId="38" fillId="9" borderId="7" xfId="0" applyFont="1" applyFill="1" applyBorder="1" applyAlignment="1">
      <alignment horizontal="left"/>
    </xf>
    <xf numFmtId="0" fontId="38" fillId="9" borderId="7" xfId="0" applyFont="1" applyFill="1" applyBorder="1" applyAlignment="1"/>
    <xf numFmtId="0" fontId="56" fillId="9" borderId="7" xfId="0" applyFont="1" applyFill="1" applyBorder="1" applyAlignment="1">
      <alignment horizontal="center" vertical="center"/>
    </xf>
    <xf numFmtId="175" fontId="17" fillId="9" borderId="11" xfId="0" applyNumberFormat="1" applyFont="1" applyFill="1" applyBorder="1"/>
    <xf numFmtId="4" fontId="38" fillId="0" borderId="7" xfId="2" applyNumberFormat="1" applyFont="1" applyBorder="1" applyAlignment="1">
      <alignment horizontal="left"/>
    </xf>
    <xf numFmtId="0" fontId="17" fillId="0" borderId="7" xfId="0" applyFont="1" applyBorder="1" applyAlignment="1">
      <alignment horizontal="left"/>
    </xf>
    <xf numFmtId="0" fontId="17" fillId="0" borderId="7" xfId="0" applyFont="1" applyBorder="1"/>
    <xf numFmtId="168" fontId="10" fillId="0" borderId="59" xfId="0" quotePrefix="1" applyNumberFormat="1" applyFont="1" applyFill="1" applyBorder="1" applyAlignment="1">
      <alignment vertical="center"/>
    </xf>
    <xf numFmtId="175" fontId="41" fillId="2" borderId="55" xfId="0" applyNumberFormat="1" applyFont="1" applyFill="1" applyBorder="1" applyAlignment="1">
      <alignment vertical="center"/>
    </xf>
    <xf numFmtId="0" fontId="41" fillId="2" borderId="5" xfId="0" quotePrefix="1" applyNumberFormat="1" applyFont="1" applyFill="1" applyBorder="1" applyAlignment="1">
      <alignment horizontal="center" vertical="center"/>
    </xf>
    <xf numFmtId="176" fontId="41" fillId="2" borderId="5" xfId="0" applyNumberFormat="1" applyFont="1" applyFill="1" applyBorder="1" applyAlignment="1">
      <alignment horizontal="center" vertical="center"/>
    </xf>
    <xf numFmtId="0" fontId="41" fillId="2" borderId="5" xfId="0" applyFont="1" applyFill="1" applyBorder="1" applyAlignment="1">
      <alignment vertical="center"/>
    </xf>
    <xf numFmtId="176" fontId="41" fillId="2" borderId="5" xfId="0" applyNumberFormat="1" applyFont="1" applyFill="1" applyBorder="1" applyAlignment="1">
      <alignment vertical="center"/>
    </xf>
    <xf numFmtId="0" fontId="41" fillId="2" borderId="5" xfId="0" applyFont="1" applyFill="1" applyBorder="1" applyAlignment="1">
      <alignment horizontal="center" vertical="center"/>
    </xf>
    <xf numFmtId="4" fontId="38" fillId="0" borderId="7" xfId="2" quotePrefix="1" applyNumberFormat="1" applyFont="1" applyFill="1" applyBorder="1" applyAlignment="1">
      <alignment horizontal="left"/>
    </xf>
    <xf numFmtId="0" fontId="38" fillId="0" borderId="0" xfId="0" applyFont="1" applyAlignment="1">
      <alignment horizontal="center" vertical="center"/>
    </xf>
    <xf numFmtId="0" fontId="38" fillId="0" borderId="85" xfId="0" quotePrefix="1" applyFont="1" applyFill="1" applyBorder="1" applyAlignment="1">
      <alignment horizontal="center" vertical="center"/>
    </xf>
    <xf numFmtId="175" fontId="38" fillId="0" borderId="7" xfId="0" applyNumberFormat="1" applyFont="1" applyFill="1" applyBorder="1"/>
    <xf numFmtId="0" fontId="38" fillId="0" borderId="0" xfId="0" applyFont="1"/>
    <xf numFmtId="0" fontId="38" fillId="0" borderId="7" xfId="0" quotePrefix="1" applyFont="1" applyFill="1" applyBorder="1" applyAlignment="1">
      <alignment horizontal="left"/>
    </xf>
    <xf numFmtId="0" fontId="38" fillId="0" borderId="7" xfId="0" applyFont="1" applyBorder="1" applyAlignment="1">
      <alignment horizontal="center" vertical="center"/>
    </xf>
    <xf numFmtId="0" fontId="38" fillId="0" borderId="7" xfId="0" applyFont="1" applyFill="1" applyBorder="1" applyAlignment="1">
      <alignment horizontal="left" vertical="center"/>
    </xf>
    <xf numFmtId="0" fontId="38" fillId="0" borderId="7" xfId="0" applyFont="1" applyFill="1" applyBorder="1" applyAlignment="1">
      <alignment vertical="center"/>
    </xf>
    <xf numFmtId="175" fontId="38" fillId="0" borderId="7" xfId="0" applyNumberFormat="1" applyFont="1" applyFill="1" applyBorder="1" applyAlignment="1">
      <alignment vertical="center"/>
    </xf>
    <xf numFmtId="0" fontId="38" fillId="0" borderId="7" xfId="0" applyFont="1" applyFill="1" applyBorder="1" applyAlignment="1">
      <alignment horizontal="center" vertical="center"/>
    </xf>
    <xf numFmtId="175" fontId="38" fillId="0" borderId="7" xfId="0" applyNumberFormat="1" applyFont="1" applyBorder="1"/>
    <xf numFmtId="4" fontId="68" fillId="0" borderId="7" xfId="2" applyNumberFormat="1" applyFont="1" applyFill="1" applyBorder="1" applyAlignment="1"/>
    <xf numFmtId="0" fontId="17" fillId="2" borderId="0" xfId="0" applyFont="1" applyFill="1" applyAlignment="1">
      <alignment horizontal="center" vertical="center"/>
    </xf>
    <xf numFmtId="0" fontId="17" fillId="2" borderId="87" xfId="0" quotePrefix="1" applyFont="1" applyFill="1" applyBorder="1" applyAlignment="1">
      <alignment horizontal="center" vertical="center"/>
    </xf>
    <xf numFmtId="4" fontId="38" fillId="2" borderId="11" xfId="2" applyNumberFormat="1" applyFont="1" applyFill="1" applyBorder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left"/>
    </xf>
    <xf numFmtId="0" fontId="17" fillId="2" borderId="7" xfId="0" applyFont="1" applyFill="1" applyBorder="1"/>
    <xf numFmtId="0" fontId="56" fillId="2" borderId="7" xfId="0" applyFont="1" applyFill="1" applyBorder="1" applyAlignment="1">
      <alignment horizontal="center" vertical="center"/>
    </xf>
    <xf numFmtId="175" fontId="17" fillId="2" borderId="11" xfId="0" applyNumberFormat="1" applyFont="1" applyFill="1" applyBorder="1"/>
    <xf numFmtId="41" fontId="38" fillId="2" borderId="11" xfId="2" applyNumberFormat="1" applyFont="1" applyFill="1" applyBorder="1" applyAlignment="1"/>
    <xf numFmtId="4" fontId="38" fillId="2" borderId="11" xfId="2" applyNumberFormat="1" applyFont="1" applyFill="1" applyBorder="1" applyAlignment="1"/>
    <xf numFmtId="43" fontId="38" fillId="2" borderId="88" xfId="0" quotePrefix="1" applyNumberFormat="1" applyFont="1" applyFill="1" applyBorder="1" applyAlignment="1"/>
    <xf numFmtId="0" fontId="16" fillId="2" borderId="0" xfId="0" applyFont="1" applyFill="1" applyAlignment="1">
      <alignment horizontal="center"/>
    </xf>
    <xf numFmtId="0" fontId="17" fillId="2" borderId="85" xfId="0" quotePrefix="1" applyFont="1" applyFill="1" applyBorder="1" applyAlignment="1">
      <alignment horizontal="center" vertical="center"/>
    </xf>
    <xf numFmtId="0" fontId="56" fillId="2" borderId="7" xfId="0" applyFont="1" applyFill="1" applyBorder="1" applyAlignment="1">
      <alignment vertical="center"/>
    </xf>
    <xf numFmtId="0" fontId="38" fillId="2" borderId="11" xfId="0" applyFont="1" applyFill="1" applyBorder="1" applyAlignment="1">
      <alignment horizontal="center"/>
    </xf>
    <xf numFmtId="0" fontId="38" fillId="2" borderId="11" xfId="0" applyFont="1" applyFill="1" applyBorder="1" applyAlignment="1">
      <alignment horizontal="left"/>
    </xf>
    <xf numFmtId="0" fontId="38" fillId="2" borderId="11" xfId="0" applyFont="1" applyFill="1" applyBorder="1"/>
    <xf numFmtId="41" fontId="38" fillId="2" borderId="7" xfId="2" applyNumberFormat="1" applyFont="1" applyFill="1" applyBorder="1" applyAlignment="1"/>
    <xf numFmtId="4" fontId="38" fillId="2" borderId="7" xfId="2" applyNumberFormat="1" applyFont="1" applyFill="1" applyBorder="1" applyAlignment="1"/>
    <xf numFmtId="43" fontId="38" fillId="2" borderId="86" xfId="0" applyNumberFormat="1" applyFont="1" applyFill="1" applyBorder="1" applyAlignment="1"/>
    <xf numFmtId="4" fontId="38" fillId="2" borderId="7" xfId="2" applyNumberFormat="1" applyFont="1" applyFill="1" applyBorder="1" applyAlignment="1">
      <alignment horizontal="left"/>
    </xf>
    <xf numFmtId="0" fontId="38" fillId="2" borderId="7" xfId="0" applyFont="1" applyFill="1" applyBorder="1" applyAlignment="1">
      <alignment horizontal="left"/>
    </xf>
    <xf numFmtId="0" fontId="17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left"/>
    </xf>
    <xf numFmtId="0" fontId="17" fillId="2" borderId="11" xfId="0" applyFont="1" applyFill="1" applyBorder="1"/>
    <xf numFmtId="0" fontId="17" fillId="2" borderId="7" xfId="0" applyFont="1" applyFill="1" applyBorder="1" applyAlignment="1"/>
    <xf numFmtId="175" fontId="17" fillId="2" borderId="7" xfId="0" applyNumberFormat="1" applyFont="1" applyFill="1" applyBorder="1"/>
    <xf numFmtId="0" fontId="17" fillId="2" borderId="0" xfId="0" applyFont="1" applyFill="1"/>
    <xf numFmtId="43" fontId="38" fillId="2" borderId="86" xfId="2" applyNumberFormat="1" applyFont="1" applyFill="1" applyBorder="1" applyAlignment="1"/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77" fillId="0" borderId="43" xfId="0" applyNumberFormat="1" applyFont="1" applyFill="1" applyBorder="1" applyAlignment="1">
      <alignment horizontal="center" vertical="center"/>
    </xf>
    <xf numFmtId="164" fontId="77" fillId="0" borderId="44" xfId="0" applyNumberFormat="1" applyFont="1" applyFill="1" applyBorder="1" applyAlignment="1">
      <alignment horizontal="center" vertical="center"/>
    </xf>
    <xf numFmtId="0" fontId="77" fillId="0" borderId="42" xfId="0" applyFont="1" applyFill="1" applyBorder="1" applyAlignment="1">
      <alignment horizontal="center" vertical="center"/>
    </xf>
    <xf numFmtId="0" fontId="77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35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ULFUQQE\Share\kerja\BANK%20EXP\BARU\2023\01%20JAN\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T%20PPN/12-Hitung%20FP%20Keluar%20Desember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34">
          <cell r="K34">
            <v>15907500</v>
          </cell>
        </row>
        <row r="148">
          <cell r="K148">
            <v>12312000</v>
          </cell>
        </row>
        <row r="262">
          <cell r="K262">
            <v>17798067</v>
          </cell>
        </row>
        <row r="376">
          <cell r="K376">
            <v>4032000</v>
          </cell>
        </row>
        <row r="490">
          <cell r="K490">
            <v>853200</v>
          </cell>
        </row>
        <row r="604">
          <cell r="K604">
            <v>808500</v>
          </cell>
        </row>
        <row r="718">
          <cell r="K718">
            <v>3381804</v>
          </cell>
        </row>
        <row r="832">
          <cell r="K832">
            <v>5481000</v>
          </cell>
        </row>
        <row r="946">
          <cell r="K946">
            <v>7122150</v>
          </cell>
        </row>
        <row r="1060">
          <cell r="K1060">
            <v>329300.95999999996</v>
          </cell>
        </row>
        <row r="1174">
          <cell r="K1174">
            <v>5299855</v>
          </cell>
        </row>
        <row r="1288">
          <cell r="K1288">
            <v>17807370</v>
          </cell>
        </row>
        <row r="1402">
          <cell r="K1402">
            <v>17454255</v>
          </cell>
        </row>
        <row r="1516">
          <cell r="K1516">
            <v>16159500</v>
          </cell>
        </row>
        <row r="1630">
          <cell r="K1630">
            <v>10361032.5</v>
          </cell>
        </row>
        <row r="1744">
          <cell r="K1744">
            <v>32112675</v>
          </cell>
        </row>
        <row r="1858">
          <cell r="K1858">
            <v>8364037.5</v>
          </cell>
        </row>
        <row r="1972">
          <cell r="K1972">
            <v>3521700</v>
          </cell>
        </row>
        <row r="2086">
          <cell r="K2086">
            <v>13891500</v>
          </cell>
        </row>
        <row r="2200">
          <cell r="K2200">
            <v>1320000</v>
          </cell>
        </row>
        <row r="2314">
          <cell r="K2314">
            <v>10006500</v>
          </cell>
        </row>
        <row r="2428">
          <cell r="K2428">
            <v>1453200</v>
          </cell>
        </row>
        <row r="2542">
          <cell r="K2542">
            <v>30406792.5</v>
          </cell>
        </row>
        <row r="2656">
          <cell r="K2656">
            <v>4104000</v>
          </cell>
        </row>
        <row r="2770">
          <cell r="K2770">
            <v>2408080</v>
          </cell>
        </row>
        <row r="2884">
          <cell r="K2884">
            <v>621340</v>
          </cell>
        </row>
        <row r="2998">
          <cell r="K2998">
            <v>16089000</v>
          </cell>
        </row>
        <row r="3112">
          <cell r="K3112">
            <v>2776700</v>
          </cell>
        </row>
        <row r="3226">
          <cell r="K3226">
            <v>9715680</v>
          </cell>
        </row>
        <row r="3340">
          <cell r="K3340">
            <v>6194475</v>
          </cell>
        </row>
        <row r="3454">
          <cell r="K3454">
            <v>749000</v>
          </cell>
        </row>
        <row r="3568">
          <cell r="K3568">
            <v>12312000</v>
          </cell>
        </row>
        <row r="3682">
          <cell r="K3682">
            <v>4253560</v>
          </cell>
        </row>
        <row r="3796">
          <cell r="K3796">
            <v>3382560</v>
          </cell>
        </row>
        <row r="3910">
          <cell r="K3910">
            <v>0</v>
          </cell>
        </row>
        <row r="4024">
          <cell r="K4024">
            <v>0</v>
          </cell>
        </row>
        <row r="4138">
          <cell r="K4138">
            <v>0</v>
          </cell>
        </row>
        <row r="4252">
          <cell r="K4252">
            <v>0</v>
          </cell>
        </row>
        <row r="4366">
          <cell r="K4366">
            <v>0</v>
          </cell>
        </row>
        <row r="4480">
          <cell r="K448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864" t="s">
        <v>83</v>
      </c>
      <c r="B1" s="864"/>
      <c r="C1" s="864"/>
      <c r="D1" s="864"/>
      <c r="E1" s="864"/>
      <c r="F1" s="864"/>
      <c r="G1" s="864"/>
      <c r="H1" s="864"/>
      <c r="I1" s="864"/>
    </row>
    <row r="2" spans="1:256" ht="14.25" x14ac:dyDescent="0.2">
      <c r="A2" s="864" t="s">
        <v>84</v>
      </c>
      <c r="B2" s="864"/>
      <c r="C2" s="864"/>
      <c r="D2" s="864"/>
      <c r="E2" s="864"/>
      <c r="F2" s="864"/>
      <c r="G2" s="864"/>
      <c r="H2" s="864"/>
      <c r="I2" s="864"/>
    </row>
    <row r="3" spans="1:256" ht="14.25" x14ac:dyDescent="0.2">
      <c r="A3" s="864" t="s">
        <v>49</v>
      </c>
      <c r="B3" s="864"/>
      <c r="C3" s="864"/>
      <c r="D3" s="864"/>
      <c r="E3" s="864"/>
      <c r="F3" s="864"/>
      <c r="G3" s="864"/>
      <c r="H3" s="864"/>
      <c r="I3" s="864"/>
    </row>
    <row r="4" spans="1:256" ht="14.25" x14ac:dyDescent="0.2">
      <c r="A4" s="864" t="s">
        <v>85</v>
      </c>
      <c r="B4" s="864"/>
      <c r="C4" s="864"/>
      <c r="D4" s="864"/>
      <c r="E4" s="864"/>
      <c r="F4" s="864"/>
      <c r="G4" s="864"/>
      <c r="H4" s="864"/>
      <c r="I4" s="864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865" t="s">
        <v>86</v>
      </c>
      <c r="B6" s="867" t="s">
        <v>87</v>
      </c>
      <c r="C6" s="869" t="s">
        <v>88</v>
      </c>
      <c r="D6" s="65" t="s">
        <v>89</v>
      </c>
      <c r="E6" s="871" t="s">
        <v>90</v>
      </c>
      <c r="F6" s="871"/>
      <c r="G6" s="869" t="s">
        <v>91</v>
      </c>
      <c r="H6" s="869"/>
      <c r="I6" s="872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866"/>
      <c r="B7" s="868"/>
      <c r="C7" s="870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873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874" t="s">
        <v>97</v>
      </c>
      <c r="B11" s="875"/>
      <c r="C11" s="875"/>
      <c r="D11" s="875"/>
      <c r="E11" s="878">
        <f>SUM(E8:E10)</f>
        <v>200000000</v>
      </c>
      <c r="F11" s="880">
        <f>SUM(F8:F10)</f>
        <v>4000000</v>
      </c>
      <c r="G11" s="882"/>
      <c r="H11" s="884"/>
      <c r="I11" s="862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76"/>
      <c r="B12" s="877"/>
      <c r="C12" s="877"/>
      <c r="D12" s="877"/>
      <c r="E12" s="879"/>
      <c r="F12" s="881"/>
      <c r="G12" s="883"/>
      <c r="H12" s="885"/>
      <c r="I12" s="863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showGridLines="0" topLeftCell="A4" zoomScaleNormal="100" workbookViewId="0">
      <pane xSplit="7" topLeftCell="AW1" activePane="topRight" state="frozen"/>
      <selection pane="topRight" activeCell="BA25" sqref="BA25:BD25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hidden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2.42578125" style="183" bestFit="1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7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4"/>
      <c r="AJ1" s="184"/>
      <c r="AK1" s="324"/>
      <c r="AL1" s="182"/>
      <c r="AM1" s="182"/>
      <c r="AN1" s="184"/>
      <c r="AO1" s="179"/>
    </row>
    <row r="2" spans="1:67" ht="14.25" x14ac:dyDescent="0.25">
      <c r="A2" s="204" t="s">
        <v>399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4"/>
      <c r="AJ2" s="184"/>
      <c r="AK2" s="324"/>
      <c r="AL2" s="182"/>
      <c r="AM2" s="182"/>
      <c r="AN2" s="184"/>
      <c r="AO2" s="179"/>
    </row>
    <row r="3" spans="1:67" customFormat="1" ht="15" customHeight="1" x14ac:dyDescent="0.25">
      <c r="A3" s="949" t="s">
        <v>86</v>
      </c>
      <c r="B3" s="950" t="s">
        <v>148</v>
      </c>
      <c r="C3" s="950" t="s">
        <v>149</v>
      </c>
      <c r="D3" s="950" t="s">
        <v>192</v>
      </c>
      <c r="E3" s="951" t="s">
        <v>193</v>
      </c>
      <c r="F3" s="947" t="s">
        <v>150</v>
      </c>
      <c r="G3" s="948" t="s">
        <v>151</v>
      </c>
      <c r="H3" s="933" t="s">
        <v>98</v>
      </c>
      <c r="I3" s="934"/>
      <c r="J3" s="934"/>
      <c r="K3" s="935"/>
      <c r="L3" s="941" t="s">
        <v>99</v>
      </c>
      <c r="M3" s="934"/>
      <c r="N3" s="934"/>
      <c r="O3" s="942"/>
      <c r="P3" s="943" t="s">
        <v>100</v>
      </c>
      <c r="Q3" s="924"/>
      <c r="R3" s="924"/>
      <c r="S3" s="944"/>
      <c r="T3" s="941" t="s">
        <v>101</v>
      </c>
      <c r="U3" s="934"/>
      <c r="V3" s="934"/>
      <c r="W3" s="934"/>
      <c r="X3" s="689"/>
      <c r="Y3" s="933" t="s">
        <v>160</v>
      </c>
      <c r="Z3" s="934"/>
      <c r="AA3" s="934"/>
      <c r="AB3" s="935"/>
      <c r="AC3" s="941" t="s">
        <v>103</v>
      </c>
      <c r="AD3" s="934"/>
      <c r="AE3" s="934"/>
      <c r="AF3" s="942"/>
      <c r="AG3" s="933" t="s">
        <v>104</v>
      </c>
      <c r="AH3" s="934"/>
      <c r="AI3" s="934"/>
      <c r="AJ3" s="935"/>
      <c r="AK3" s="929" t="s">
        <v>105</v>
      </c>
      <c r="AL3" s="926"/>
      <c r="AM3" s="926"/>
      <c r="AN3" s="930"/>
      <c r="AO3" s="936" t="s">
        <v>106</v>
      </c>
      <c r="AP3" s="937"/>
      <c r="AQ3" s="937"/>
      <c r="AR3" s="938"/>
      <c r="AS3" s="939" t="s">
        <v>107</v>
      </c>
      <c r="AT3" s="937"/>
      <c r="AU3" s="937"/>
      <c r="AV3" s="940"/>
      <c r="AW3" s="936" t="s">
        <v>108</v>
      </c>
      <c r="AX3" s="937"/>
      <c r="AY3" s="937"/>
      <c r="AZ3" s="938"/>
      <c r="BA3" s="929" t="s">
        <v>109</v>
      </c>
      <c r="BB3" s="926"/>
      <c r="BC3" s="926"/>
      <c r="BD3" s="930"/>
      <c r="BE3" s="931" t="s">
        <v>24</v>
      </c>
      <c r="BF3" s="932" t="s">
        <v>152</v>
      </c>
      <c r="BG3" s="926" t="s">
        <v>153</v>
      </c>
      <c r="BH3" s="926" t="s">
        <v>154</v>
      </c>
      <c r="BI3" s="926" t="s">
        <v>155</v>
      </c>
      <c r="BJ3" s="926" t="s">
        <v>156</v>
      </c>
      <c r="BK3" s="927" t="s">
        <v>157</v>
      </c>
      <c r="BL3" s="927" t="s">
        <v>158</v>
      </c>
      <c r="BM3" s="928" t="s">
        <v>159</v>
      </c>
      <c r="BN3" s="924" t="s">
        <v>152</v>
      </c>
    </row>
    <row r="4" spans="1:67" customFormat="1" ht="15" x14ac:dyDescent="0.25">
      <c r="A4" s="949"/>
      <c r="B4" s="950"/>
      <c r="C4" s="950"/>
      <c r="D4" s="950"/>
      <c r="E4" s="951"/>
      <c r="F4" s="947"/>
      <c r="G4" s="948"/>
      <c r="H4" s="925" t="s">
        <v>2622</v>
      </c>
      <c r="I4" s="917" t="s">
        <v>181</v>
      </c>
      <c r="J4" s="918" t="s">
        <v>2708</v>
      </c>
      <c r="K4" s="919"/>
      <c r="L4" s="920" t="s">
        <v>2622</v>
      </c>
      <c r="M4" s="917" t="s">
        <v>181</v>
      </c>
      <c r="N4" s="918" t="s">
        <v>2708</v>
      </c>
      <c r="O4" s="921"/>
      <c r="P4" s="687" t="s">
        <v>2622</v>
      </c>
      <c r="Q4" s="673" t="s">
        <v>181</v>
      </c>
      <c r="R4" s="918" t="s">
        <v>2708</v>
      </c>
      <c r="S4" s="919"/>
      <c r="T4" s="920" t="s">
        <v>2622</v>
      </c>
      <c r="U4" s="917" t="s">
        <v>181</v>
      </c>
      <c r="V4" s="918" t="s">
        <v>2708</v>
      </c>
      <c r="W4" s="918"/>
      <c r="X4" s="945" t="s">
        <v>2709</v>
      </c>
      <c r="Y4" s="925" t="s">
        <v>2622</v>
      </c>
      <c r="Z4" s="917" t="s">
        <v>181</v>
      </c>
      <c r="AA4" s="918" t="s">
        <v>2708</v>
      </c>
      <c r="AB4" s="919"/>
      <c r="AC4" s="920" t="s">
        <v>2622</v>
      </c>
      <c r="AD4" s="917" t="s">
        <v>181</v>
      </c>
      <c r="AE4" s="918" t="s">
        <v>2708</v>
      </c>
      <c r="AF4" s="921"/>
      <c r="AG4" s="925" t="s">
        <v>2622</v>
      </c>
      <c r="AH4" s="917" t="s">
        <v>181</v>
      </c>
      <c r="AI4" s="918" t="s">
        <v>2708</v>
      </c>
      <c r="AJ4" s="919"/>
      <c r="AK4" s="920" t="s">
        <v>2622</v>
      </c>
      <c r="AL4" s="917" t="s">
        <v>181</v>
      </c>
      <c r="AM4" s="918" t="s">
        <v>2708</v>
      </c>
      <c r="AN4" s="921"/>
      <c r="AO4" s="923" t="s">
        <v>2622</v>
      </c>
      <c r="AP4" s="917" t="s">
        <v>181</v>
      </c>
      <c r="AQ4" s="918" t="s">
        <v>2708</v>
      </c>
      <c r="AR4" s="919"/>
      <c r="AS4" s="922" t="s">
        <v>2622</v>
      </c>
      <c r="AT4" s="917" t="s">
        <v>181</v>
      </c>
      <c r="AU4" s="918" t="s">
        <v>2708</v>
      </c>
      <c r="AV4" s="921"/>
      <c r="AW4" s="923" t="s">
        <v>2622</v>
      </c>
      <c r="AX4" s="917" t="s">
        <v>181</v>
      </c>
      <c r="AY4" s="918" t="s">
        <v>2708</v>
      </c>
      <c r="AZ4" s="919"/>
      <c r="BA4" s="920" t="s">
        <v>2622</v>
      </c>
      <c r="BB4" s="917" t="s">
        <v>181</v>
      </c>
      <c r="BC4" s="918" t="s">
        <v>2708</v>
      </c>
      <c r="BD4" s="921"/>
      <c r="BE4" s="931"/>
      <c r="BF4" s="932"/>
      <c r="BG4" s="926"/>
      <c r="BH4" s="926"/>
      <c r="BI4" s="926"/>
      <c r="BJ4" s="926"/>
      <c r="BK4" s="927"/>
      <c r="BL4" s="927"/>
      <c r="BM4" s="928"/>
      <c r="BN4" s="924"/>
    </row>
    <row r="5" spans="1:67" customFormat="1" ht="15" x14ac:dyDescent="0.25">
      <c r="A5" s="949"/>
      <c r="B5" s="950"/>
      <c r="C5" s="950"/>
      <c r="D5" s="950"/>
      <c r="E5" s="951"/>
      <c r="F5" s="947"/>
      <c r="G5" s="948"/>
      <c r="H5" s="925"/>
      <c r="I5" s="917"/>
      <c r="J5" s="674" t="s">
        <v>2710</v>
      </c>
      <c r="K5" s="682" t="s">
        <v>2711</v>
      </c>
      <c r="L5" s="920"/>
      <c r="M5" s="917"/>
      <c r="N5" s="674" t="s">
        <v>2710</v>
      </c>
      <c r="O5" s="685" t="s">
        <v>2711</v>
      </c>
      <c r="P5" s="687"/>
      <c r="Q5" s="673"/>
      <c r="R5" s="674" t="s">
        <v>2710</v>
      </c>
      <c r="S5" s="682" t="s">
        <v>2711</v>
      </c>
      <c r="T5" s="920"/>
      <c r="U5" s="917"/>
      <c r="V5" s="674" t="s">
        <v>2710</v>
      </c>
      <c r="W5" s="674" t="s">
        <v>2711</v>
      </c>
      <c r="X5" s="946"/>
      <c r="Y5" s="925"/>
      <c r="Z5" s="917"/>
      <c r="AA5" s="674" t="s">
        <v>2710</v>
      </c>
      <c r="AB5" s="682" t="s">
        <v>2711</v>
      </c>
      <c r="AC5" s="920"/>
      <c r="AD5" s="917"/>
      <c r="AE5" s="674" t="s">
        <v>2710</v>
      </c>
      <c r="AF5" s="685" t="s">
        <v>2711</v>
      </c>
      <c r="AG5" s="925"/>
      <c r="AH5" s="917"/>
      <c r="AI5" s="674" t="s">
        <v>2710</v>
      </c>
      <c r="AJ5" s="682" t="s">
        <v>2711</v>
      </c>
      <c r="AK5" s="920"/>
      <c r="AL5" s="917"/>
      <c r="AM5" s="674" t="s">
        <v>2710</v>
      </c>
      <c r="AN5" s="685" t="s">
        <v>2711</v>
      </c>
      <c r="AO5" s="923"/>
      <c r="AP5" s="917"/>
      <c r="AQ5" s="674" t="s">
        <v>2710</v>
      </c>
      <c r="AR5" s="682" t="s">
        <v>2711</v>
      </c>
      <c r="AS5" s="922"/>
      <c r="AT5" s="917"/>
      <c r="AU5" s="674" t="s">
        <v>2710</v>
      </c>
      <c r="AV5" s="685" t="s">
        <v>2711</v>
      </c>
      <c r="AW5" s="923"/>
      <c r="AX5" s="917"/>
      <c r="AY5" s="674" t="s">
        <v>2710</v>
      </c>
      <c r="AZ5" s="682" t="s">
        <v>2711</v>
      </c>
      <c r="BA5" s="920"/>
      <c r="BB5" s="917"/>
      <c r="BC5" s="674" t="s">
        <v>2710</v>
      </c>
      <c r="BD5" s="685" t="s">
        <v>2711</v>
      </c>
      <c r="BE5" s="931"/>
      <c r="BF5" s="932"/>
      <c r="BG5" s="926"/>
      <c r="BH5" s="926"/>
      <c r="BI5" s="926"/>
      <c r="BJ5" s="926"/>
      <c r="BK5" s="927"/>
      <c r="BL5" s="927"/>
      <c r="BM5" s="928"/>
      <c r="BN5" s="924"/>
    </row>
    <row r="6" spans="1:67" customFormat="1" ht="15" x14ac:dyDescent="0.25">
      <c r="A6" s="667"/>
      <c r="B6" s="668" t="s">
        <v>161</v>
      </c>
      <c r="C6" s="669"/>
      <c r="D6" s="669"/>
      <c r="E6" s="668"/>
      <c r="F6" s="622"/>
      <c r="G6" s="676"/>
      <c r="H6" s="683"/>
      <c r="I6" s="670"/>
      <c r="J6" s="671"/>
      <c r="K6" s="684"/>
      <c r="L6" s="681"/>
      <c r="M6" s="670"/>
      <c r="N6" s="671"/>
      <c r="O6" s="686"/>
      <c r="P6" s="688"/>
      <c r="Q6" s="670"/>
      <c r="R6" s="671"/>
      <c r="S6" s="684"/>
      <c r="T6" s="681"/>
      <c r="U6" s="670"/>
      <c r="V6" s="671"/>
      <c r="W6" s="671"/>
      <c r="X6" s="690"/>
      <c r="Y6" s="683"/>
      <c r="Z6" s="670"/>
      <c r="AA6" s="671"/>
      <c r="AB6" s="756"/>
      <c r="AC6" s="757"/>
      <c r="AD6" s="670"/>
      <c r="AE6" s="671"/>
      <c r="AF6" s="686"/>
      <c r="AG6" s="683"/>
      <c r="AH6" s="670"/>
      <c r="AI6" s="671"/>
      <c r="AJ6" s="684"/>
      <c r="AK6" s="681"/>
      <c r="AL6" s="670"/>
      <c r="AM6" s="671"/>
      <c r="AN6" s="686"/>
      <c r="AO6" s="694"/>
      <c r="AP6" s="670"/>
      <c r="AQ6" s="671"/>
      <c r="AR6" s="684"/>
      <c r="AS6" s="693"/>
      <c r="AT6" s="670"/>
      <c r="AU6" s="671"/>
      <c r="AV6" s="686"/>
      <c r="AW6" s="694"/>
      <c r="AX6" s="670"/>
      <c r="AY6" s="671"/>
      <c r="AZ6" s="684"/>
      <c r="BA6" s="681"/>
      <c r="BB6" s="670"/>
      <c r="BC6" s="671"/>
      <c r="BD6" s="686"/>
      <c r="BE6" s="695"/>
      <c r="BF6" s="675"/>
      <c r="BG6" s="672"/>
      <c r="BH6" s="672"/>
      <c r="BI6" s="672"/>
      <c r="BJ6" s="672"/>
      <c r="BK6" s="672"/>
      <c r="BL6" s="672"/>
      <c r="BM6" s="675"/>
      <c r="BN6" s="672"/>
    </row>
    <row r="7" spans="1:67" s="632" customFormat="1" ht="15" x14ac:dyDescent="0.25">
      <c r="A7" s="621">
        <v>1</v>
      </c>
      <c r="B7" s="622" t="s">
        <v>233</v>
      </c>
      <c r="C7" s="623" t="s">
        <v>234</v>
      </c>
      <c r="D7" s="622" t="s">
        <v>5584</v>
      </c>
      <c r="E7" s="622" t="s">
        <v>235</v>
      </c>
      <c r="F7" s="623"/>
      <c r="G7" s="677" t="s">
        <v>166</v>
      </c>
      <c r="H7" s="624">
        <v>3750000</v>
      </c>
      <c r="I7" s="625"/>
      <c r="J7" s="625"/>
      <c r="K7" s="711"/>
      <c r="L7" s="624">
        <v>3750000</v>
      </c>
      <c r="M7" s="625"/>
      <c r="N7" s="625"/>
      <c r="O7" s="711"/>
      <c r="P7" s="624">
        <v>3750000</v>
      </c>
      <c r="Q7" s="625"/>
      <c r="R7" s="625"/>
      <c r="S7" s="711"/>
      <c r="T7" s="624">
        <v>3750000</v>
      </c>
      <c r="U7" s="625"/>
      <c r="V7" s="626"/>
      <c r="W7" s="635"/>
      <c r="X7" s="712">
        <v>3750000</v>
      </c>
      <c r="Y7" s="624">
        <v>3750000</v>
      </c>
      <c r="Z7" s="625"/>
      <c r="AA7" s="626"/>
      <c r="AB7" s="636"/>
      <c r="AC7" s="624">
        <v>3750000</v>
      </c>
      <c r="AD7" s="625"/>
      <c r="AE7" s="626"/>
      <c r="AF7" s="628"/>
      <c r="AG7" s="624">
        <v>3750000</v>
      </c>
      <c r="AH7" s="625"/>
      <c r="AI7" s="626"/>
      <c r="AJ7" s="627"/>
      <c r="AK7" s="624">
        <v>3750000</v>
      </c>
      <c r="AL7" s="625"/>
      <c r="AM7" s="626"/>
      <c r="AN7" s="628"/>
      <c r="AO7" s="624">
        <v>3750000</v>
      </c>
      <c r="AP7" s="625"/>
      <c r="AQ7" s="626"/>
      <c r="AR7" s="627"/>
      <c r="AS7" s="624">
        <v>3750000</v>
      </c>
      <c r="AT7" s="625"/>
      <c r="AU7" s="626"/>
      <c r="AV7" s="628"/>
      <c r="AW7" s="624">
        <v>3750000</v>
      </c>
      <c r="AX7" s="625"/>
      <c r="AY7" s="626"/>
      <c r="AZ7" s="627"/>
      <c r="BA7" s="624">
        <v>3750000</v>
      </c>
      <c r="BB7" s="625"/>
      <c r="BC7" s="626"/>
      <c r="BD7" s="628"/>
      <c r="BE7" s="624"/>
      <c r="BF7" s="629">
        <f t="shared" ref="BF7:BF21" si="0">SUM(AP7:BE7)</f>
        <v>11250000</v>
      </c>
      <c r="BG7" s="192">
        <f t="shared" ref="BG7:BG21" si="1">BF7*5%</f>
        <v>562500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0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1">
        <f t="shared" ref="BK7:BK21" si="5">IF(AN7="",BJ7*1.2,BJ7)</f>
        <v>0</v>
      </c>
      <c r="BL7" s="192">
        <v>0</v>
      </c>
      <c r="BM7" s="629">
        <f t="shared" ref="BM7:BM20" si="6">BK7-BL7</f>
        <v>0</v>
      </c>
      <c r="BN7" s="192">
        <f t="shared" ref="BN7:BN20" si="7">BF7-BM7</f>
        <v>11250000</v>
      </c>
    </row>
    <row r="8" spans="1:67" s="632" customFormat="1" ht="15" x14ac:dyDescent="0.25">
      <c r="A8" s="193">
        <v>2</v>
      </c>
      <c r="B8" s="194" t="s">
        <v>183</v>
      </c>
      <c r="C8" s="195" t="s">
        <v>184</v>
      </c>
      <c r="D8" s="194" t="s">
        <v>221</v>
      </c>
      <c r="E8" s="194" t="s">
        <v>222</v>
      </c>
      <c r="F8" s="196"/>
      <c r="G8" s="318" t="s">
        <v>165</v>
      </c>
      <c r="H8" s="633">
        <v>3500000</v>
      </c>
      <c r="I8" s="634"/>
      <c r="J8" s="634"/>
      <c r="K8" s="712"/>
      <c r="L8" s="633">
        <v>3500000</v>
      </c>
      <c r="M8" s="634"/>
      <c r="N8" s="634"/>
      <c r="O8" s="712"/>
      <c r="P8" s="633">
        <v>3500000</v>
      </c>
      <c r="Q8" s="634"/>
      <c r="R8" s="634"/>
      <c r="S8" s="712"/>
      <c r="T8" s="633">
        <v>3500000</v>
      </c>
      <c r="U8" s="634"/>
      <c r="V8" s="635"/>
      <c r="W8" s="635"/>
      <c r="X8" s="712">
        <v>3500000</v>
      </c>
      <c r="Y8" s="633">
        <v>3500000</v>
      </c>
      <c r="Z8" s="634"/>
      <c r="AA8" s="635"/>
      <c r="AB8" s="636"/>
      <c r="AC8" s="633">
        <v>3500000</v>
      </c>
      <c r="AD8" s="634"/>
      <c r="AE8" s="635"/>
      <c r="AF8" s="637"/>
      <c r="AG8" s="633">
        <v>3500000</v>
      </c>
      <c r="AH8" s="634"/>
      <c r="AI8" s="635"/>
      <c r="AJ8" s="636"/>
      <c r="AK8" s="633">
        <v>3500000</v>
      </c>
      <c r="AL8" s="634"/>
      <c r="AM8" s="635"/>
      <c r="AN8" s="637"/>
      <c r="AO8" s="633">
        <v>3500000</v>
      </c>
      <c r="AP8" s="634"/>
      <c r="AQ8" s="635"/>
      <c r="AR8" s="636"/>
      <c r="AS8" s="633">
        <v>3500000</v>
      </c>
      <c r="AT8" s="634"/>
      <c r="AU8" s="635"/>
      <c r="AV8" s="637"/>
      <c r="AW8" s="633">
        <v>3500000</v>
      </c>
      <c r="AX8" s="634"/>
      <c r="AY8" s="635"/>
      <c r="AZ8" s="636"/>
      <c r="BA8" s="633">
        <v>3500000</v>
      </c>
      <c r="BB8" s="634"/>
      <c r="BC8" s="635"/>
      <c r="BD8" s="637"/>
      <c r="BE8" s="633"/>
      <c r="BF8" s="325">
        <f t="shared" si="0"/>
        <v>10500000</v>
      </c>
      <c r="BG8" s="189">
        <f t="shared" si="1"/>
        <v>525000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5">
        <f t="shared" si="6"/>
        <v>0</v>
      </c>
      <c r="BN8" s="189">
        <f t="shared" si="7"/>
        <v>10500000</v>
      </c>
    </row>
    <row r="9" spans="1:67" s="632" customFormat="1" ht="15" x14ac:dyDescent="0.25">
      <c r="A9" s="759">
        <v>3</v>
      </c>
      <c r="B9" s="760" t="s">
        <v>185</v>
      </c>
      <c r="C9" s="761" t="s">
        <v>186</v>
      </c>
      <c r="D9" s="760" t="s">
        <v>221</v>
      </c>
      <c r="E9" s="760" t="s">
        <v>236</v>
      </c>
      <c r="F9" s="762"/>
      <c r="G9" s="763" t="s">
        <v>163</v>
      </c>
      <c r="H9" s="633">
        <v>3500000</v>
      </c>
      <c r="I9" s="634"/>
      <c r="J9" s="634"/>
      <c r="K9" s="712"/>
      <c r="L9" s="633">
        <v>3500000</v>
      </c>
      <c r="M9" s="634"/>
      <c r="N9" s="634"/>
      <c r="O9" s="712"/>
      <c r="P9" s="633">
        <v>3500000</v>
      </c>
      <c r="Q9" s="634"/>
      <c r="R9" s="634"/>
      <c r="S9" s="712"/>
      <c r="T9" s="633">
        <v>3500000</v>
      </c>
      <c r="U9" s="634"/>
      <c r="V9" s="635"/>
      <c r="W9" s="635"/>
      <c r="X9" s="712">
        <v>3500000</v>
      </c>
      <c r="Y9" s="633">
        <v>3500000</v>
      </c>
      <c r="Z9" s="634"/>
      <c r="AA9" s="635"/>
      <c r="AB9" s="636"/>
      <c r="AC9" s="633">
        <v>3500000</v>
      </c>
      <c r="AD9" s="634"/>
      <c r="AE9" s="635"/>
      <c r="AF9" s="637"/>
      <c r="AG9" s="633">
        <v>3500000</v>
      </c>
      <c r="AH9" s="634"/>
      <c r="AI9" s="635"/>
      <c r="AJ9" s="636"/>
      <c r="AK9" s="764"/>
      <c r="AL9" s="765"/>
      <c r="AM9" s="766"/>
      <c r="AN9" s="767"/>
      <c r="AO9" s="764"/>
      <c r="AP9" s="765"/>
      <c r="AQ9" s="766"/>
      <c r="AR9" s="768"/>
      <c r="AS9" s="764"/>
      <c r="AT9" s="765"/>
      <c r="AU9" s="766"/>
      <c r="AV9" s="767"/>
      <c r="AW9" s="764"/>
      <c r="AX9" s="765"/>
      <c r="AY9" s="766"/>
      <c r="AZ9" s="768"/>
      <c r="BA9" s="764"/>
      <c r="BB9" s="765"/>
      <c r="BC9" s="766"/>
      <c r="BD9" s="767"/>
      <c r="BE9" s="764"/>
      <c r="BF9" s="769">
        <f t="shared" si="0"/>
        <v>0</v>
      </c>
      <c r="BG9" s="770">
        <f t="shared" si="1"/>
        <v>0</v>
      </c>
      <c r="BH9" s="771">
        <f t="shared" si="2"/>
        <v>67500000</v>
      </c>
      <c r="BI9" s="770">
        <f t="shared" si="3"/>
        <v>0</v>
      </c>
      <c r="BJ9" s="772">
        <f t="shared" si="4"/>
        <v>0</v>
      </c>
      <c r="BK9" s="773">
        <f t="shared" si="5"/>
        <v>0</v>
      </c>
      <c r="BL9" s="770">
        <v>0</v>
      </c>
      <c r="BM9" s="769">
        <f t="shared" si="6"/>
        <v>0</v>
      </c>
      <c r="BN9" s="770">
        <f t="shared" si="7"/>
        <v>0</v>
      </c>
      <c r="BO9" s="774" t="s">
        <v>5943</v>
      </c>
    </row>
    <row r="10" spans="1:67" s="632" customFormat="1" ht="15" x14ac:dyDescent="0.25">
      <c r="A10" s="193">
        <v>4</v>
      </c>
      <c r="B10" s="194" t="s">
        <v>189</v>
      </c>
      <c r="C10" s="195" t="s">
        <v>190</v>
      </c>
      <c r="D10" s="194" t="s">
        <v>223</v>
      </c>
      <c r="E10" s="194" t="s">
        <v>2712</v>
      </c>
      <c r="F10" s="195" t="s">
        <v>261</v>
      </c>
      <c r="G10" s="318" t="s">
        <v>166</v>
      </c>
      <c r="H10" s="633">
        <v>3750000</v>
      </c>
      <c r="I10" s="634"/>
      <c r="J10" s="634"/>
      <c r="K10" s="712"/>
      <c r="L10" s="633">
        <v>3750000</v>
      </c>
      <c r="M10" s="634"/>
      <c r="N10" s="634"/>
      <c r="O10" s="712"/>
      <c r="P10" s="633">
        <v>3750000</v>
      </c>
      <c r="Q10" s="634"/>
      <c r="R10" s="634"/>
      <c r="S10" s="712"/>
      <c r="T10" s="633">
        <v>3750000</v>
      </c>
      <c r="U10" s="634"/>
      <c r="V10" s="635"/>
      <c r="W10" s="635"/>
      <c r="X10" s="712">
        <v>3750000</v>
      </c>
      <c r="Y10" s="633">
        <v>3750000</v>
      </c>
      <c r="Z10" s="634"/>
      <c r="AA10" s="635"/>
      <c r="AB10" s="636"/>
      <c r="AC10" s="633">
        <v>3750000</v>
      </c>
      <c r="AD10" s="189"/>
      <c r="AE10" s="635"/>
      <c r="AF10" s="637"/>
      <c r="AG10" s="633">
        <v>3750000</v>
      </c>
      <c r="AH10" s="189"/>
      <c r="AI10" s="635"/>
      <c r="AJ10" s="636"/>
      <c r="AK10" s="633">
        <v>3750000</v>
      </c>
      <c r="AL10" s="189"/>
      <c r="AM10" s="635"/>
      <c r="AN10" s="637"/>
      <c r="AO10" s="633">
        <v>3750000</v>
      </c>
      <c r="AP10" s="189"/>
      <c r="AQ10" s="635"/>
      <c r="AR10" s="636"/>
      <c r="AS10" s="633">
        <v>3750000</v>
      </c>
      <c r="AT10" s="189"/>
      <c r="AU10" s="635"/>
      <c r="AV10" s="637"/>
      <c r="AW10" s="633">
        <v>3750000</v>
      </c>
      <c r="AX10" s="189"/>
      <c r="AY10" s="635"/>
      <c r="AZ10" s="636"/>
      <c r="BA10" s="633">
        <v>3750000</v>
      </c>
      <c r="BB10" s="189"/>
      <c r="BC10" s="635"/>
      <c r="BD10" s="637"/>
      <c r="BE10" s="618"/>
      <c r="BF10" s="325">
        <f>SUM(AP10:BE10)</f>
        <v>11250000</v>
      </c>
      <c r="BG10" s="189">
        <f>BF10*5%</f>
        <v>562500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5">
        <f>BK10-BL10</f>
        <v>0</v>
      </c>
      <c r="BN10" s="189">
        <f>BF10-BM10</f>
        <v>11250000</v>
      </c>
    </row>
    <row r="11" spans="1:67" s="632" customFormat="1" ht="15" x14ac:dyDescent="0.25">
      <c r="A11" s="193">
        <v>5</v>
      </c>
      <c r="B11" s="194" t="s">
        <v>187</v>
      </c>
      <c r="C11" s="195" t="s">
        <v>188</v>
      </c>
      <c r="D11" s="194" t="s">
        <v>223</v>
      </c>
      <c r="E11" s="194" t="s">
        <v>224</v>
      </c>
      <c r="F11" s="196"/>
      <c r="G11" s="318" t="s">
        <v>163</v>
      </c>
      <c r="H11" s="618">
        <f>2100000-10000</f>
        <v>2090000</v>
      </c>
      <c r="I11" s="189">
        <f>43000*(25)</f>
        <v>1075000</v>
      </c>
      <c r="J11" s="189">
        <f>40000*(1+1+1+1)</f>
        <v>160000</v>
      </c>
      <c r="K11" s="619"/>
      <c r="L11" s="618">
        <f>2100000</f>
        <v>2100000</v>
      </c>
      <c r="M11" s="189">
        <f>43000*(25-3)</f>
        <v>946000</v>
      </c>
      <c r="N11" s="189">
        <f>40000*(1+1+1+0)</f>
        <v>120000</v>
      </c>
      <c r="O11" s="619"/>
      <c r="P11" s="618">
        <f>2100000</f>
        <v>2100000</v>
      </c>
      <c r="Q11" s="189">
        <f>43000*(25)</f>
        <v>1075000</v>
      </c>
      <c r="R11" s="189">
        <f>40000*(1+1+1+1)</f>
        <v>160000</v>
      </c>
      <c r="S11" s="619">
        <v>200000</v>
      </c>
      <c r="T11" s="618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2">
        <f>T11+U11</f>
        <v>3175000</v>
      </c>
      <c r="Y11" s="618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619">
        <v>200000</v>
      </c>
      <c r="AC11" s="618">
        <f>2100000</f>
        <v>2100000</v>
      </c>
      <c r="AD11" s="189">
        <f>43000*(25)</f>
        <v>1075000</v>
      </c>
      <c r="AE11" s="189">
        <f>40000*(1+1+1+1)</f>
        <v>160000</v>
      </c>
      <c r="AF11" s="619">
        <v>200000</v>
      </c>
      <c r="AG11" s="618">
        <f>2100000</f>
        <v>2100000</v>
      </c>
      <c r="AH11" s="189">
        <f>43000*(25)</f>
        <v>1075000</v>
      </c>
      <c r="AI11" s="189">
        <f>40000*(1+1+1+1+1)</f>
        <v>200000</v>
      </c>
      <c r="AJ11" s="619">
        <v>200000</v>
      </c>
      <c r="AK11" s="618">
        <f>2100000</f>
        <v>2100000</v>
      </c>
      <c r="AL11" s="189">
        <f>43000*(25-1)</f>
        <v>1032000</v>
      </c>
      <c r="AM11" s="189">
        <f>40000*(1+0+1+1)</f>
        <v>120000</v>
      </c>
      <c r="AN11" s="619"/>
      <c r="AO11" s="618">
        <f>2100000</f>
        <v>2100000</v>
      </c>
      <c r="AP11" s="189">
        <f>43000*(25)</f>
        <v>1075000</v>
      </c>
      <c r="AQ11" s="189">
        <f>40000*(0+1+1+1+1)</f>
        <v>160000</v>
      </c>
      <c r="AR11" s="619">
        <v>200000</v>
      </c>
      <c r="AS11" s="618">
        <f>2100000</f>
        <v>2100000</v>
      </c>
      <c r="AT11" s="189">
        <f>43000*(25-1)</f>
        <v>1032000</v>
      </c>
      <c r="AU11" s="189">
        <f>40000*(0+1+1+1)</f>
        <v>120000</v>
      </c>
      <c r="AV11" s="619"/>
      <c r="AW11" s="618">
        <f>2100000-10000</f>
        <v>2090000</v>
      </c>
      <c r="AX11" s="189">
        <f>43000*(25)</f>
        <v>1075000</v>
      </c>
      <c r="AY11" s="189">
        <f>40000*(0+1+1+1)</f>
        <v>120000</v>
      </c>
      <c r="AZ11" s="619"/>
      <c r="BA11" s="618">
        <f>2100000-10000</f>
        <v>2090000</v>
      </c>
      <c r="BB11" s="189">
        <f>43000*(25)</f>
        <v>1075000</v>
      </c>
      <c r="BC11" s="189">
        <f>40000*(1+1+1+1+1)</f>
        <v>200000</v>
      </c>
      <c r="BD11" s="619">
        <v>200000</v>
      </c>
      <c r="BE11" s="633"/>
      <c r="BF11" s="325">
        <f t="shared" si="0"/>
        <v>11537000</v>
      </c>
      <c r="BG11" s="189">
        <f t="shared" si="1"/>
        <v>576850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5">
        <f t="shared" si="6"/>
        <v>0</v>
      </c>
      <c r="BN11" s="189">
        <f t="shared" si="7"/>
        <v>11537000</v>
      </c>
    </row>
    <row r="12" spans="1:67" s="632" customFormat="1" ht="15" x14ac:dyDescent="0.25">
      <c r="A12" s="193">
        <v>6</v>
      </c>
      <c r="B12" s="194" t="s">
        <v>237</v>
      </c>
      <c r="C12" s="195" t="s">
        <v>238</v>
      </c>
      <c r="D12" s="194" t="s">
        <v>239</v>
      </c>
      <c r="E12" s="194" t="s">
        <v>240</v>
      </c>
      <c r="F12" s="196"/>
      <c r="G12" s="318" t="s">
        <v>165</v>
      </c>
      <c r="H12" s="633">
        <v>1600000</v>
      </c>
      <c r="I12" s="634">
        <f>(41500*25)+25000</f>
        <v>1062500</v>
      </c>
      <c r="J12" s="189">
        <f t="shared" ref="J12:J19" si="9">40000*(1+1+1+1)</f>
        <v>160000</v>
      </c>
      <c r="K12" s="712">
        <v>200000</v>
      </c>
      <c r="L12" s="633">
        <v>1600000</v>
      </c>
      <c r="M12" s="634">
        <f>41500*(25)</f>
        <v>1037500</v>
      </c>
      <c r="N12" s="189">
        <f t="shared" ref="N12:N20" si="10">40000*(1+1+1+1)</f>
        <v>160000</v>
      </c>
      <c r="O12" s="619">
        <v>200000</v>
      </c>
      <c r="P12" s="633">
        <v>1600000</v>
      </c>
      <c r="Q12" s="634">
        <f>41500*(25-1)</f>
        <v>996000</v>
      </c>
      <c r="R12" s="189">
        <f>40000*(1+1+0+1)</f>
        <v>120000</v>
      </c>
      <c r="S12" s="619"/>
      <c r="T12" s="633">
        <v>1600000</v>
      </c>
      <c r="U12" s="634">
        <f>41500*(25)</f>
        <v>1037500</v>
      </c>
      <c r="V12" s="189">
        <f>40000*(1+1+1+1+1)</f>
        <v>200000</v>
      </c>
      <c r="W12" s="189">
        <v>200000</v>
      </c>
      <c r="X12" s="712">
        <f>T12+U12</f>
        <v>2637500</v>
      </c>
      <c r="Y12" s="633">
        <v>1600000</v>
      </c>
      <c r="Z12" s="634">
        <f>41500*(25)</f>
        <v>1037500</v>
      </c>
      <c r="AA12" s="189">
        <f>40000*(1+1+1+1)</f>
        <v>160000</v>
      </c>
      <c r="AB12" s="619">
        <v>200000</v>
      </c>
      <c r="AC12" s="633">
        <v>1600000</v>
      </c>
      <c r="AD12" s="634">
        <f>41500*(25)</f>
        <v>1037500</v>
      </c>
      <c r="AE12" s="189">
        <f>40000*(1+1+1+1)</f>
        <v>160000</v>
      </c>
      <c r="AF12" s="619">
        <v>200000</v>
      </c>
      <c r="AG12" s="633">
        <v>1600000</v>
      </c>
      <c r="AH12" s="634">
        <f>41500*(25)</f>
        <v>1037500</v>
      </c>
      <c r="AI12" s="189">
        <f t="shared" ref="AI12:AI20" si="11">40000*(1+1+1+1+1)</f>
        <v>200000</v>
      </c>
      <c r="AJ12" s="619">
        <v>200000</v>
      </c>
      <c r="AK12" s="633">
        <v>1600000</v>
      </c>
      <c r="AL12" s="634">
        <f>41500*(25)</f>
        <v>1037500</v>
      </c>
      <c r="AM12" s="189">
        <f t="shared" ref="AM12:AM19" si="12">40000*(1+1+1+1)</f>
        <v>160000</v>
      </c>
      <c r="AN12" s="619">
        <v>200000</v>
      </c>
      <c r="AO12" s="633">
        <v>1600000</v>
      </c>
      <c r="AP12" s="634">
        <f>41500*(25-2)</f>
        <v>954500</v>
      </c>
      <c r="AQ12" s="189">
        <f>40000*(1+1+0+1+1)</f>
        <v>160000</v>
      </c>
      <c r="AR12" s="619"/>
      <c r="AS12" s="633">
        <v>1600000</v>
      </c>
      <c r="AT12" s="634">
        <f>41500*(25)</f>
        <v>1037500</v>
      </c>
      <c r="AU12" s="189">
        <f t="shared" ref="AU12:AU20" si="13">40000*(1+1+1+1)</f>
        <v>160000</v>
      </c>
      <c r="AV12" s="619">
        <v>200000</v>
      </c>
      <c r="AW12" s="633">
        <v>1600000</v>
      </c>
      <c r="AX12" s="634">
        <f>41500*(25)</f>
        <v>1037500</v>
      </c>
      <c r="AY12" s="189">
        <f t="shared" ref="AY12:AY20" si="14">40000*(1+1+1+1)</f>
        <v>160000</v>
      </c>
      <c r="AZ12" s="619">
        <v>200000</v>
      </c>
      <c r="BA12" s="633">
        <v>1600000</v>
      </c>
      <c r="BB12" s="634">
        <f>41500*(25)</f>
        <v>1037500</v>
      </c>
      <c r="BC12" s="189">
        <f t="shared" ref="BC12:BC20" si="15">40000*(1+1+1+1+1)</f>
        <v>200000</v>
      </c>
      <c r="BD12" s="619">
        <v>200000</v>
      </c>
      <c r="BE12" s="633"/>
      <c r="BF12" s="326">
        <f>SUM(AP12:BE12)</f>
        <v>10147000</v>
      </c>
      <c r="BG12" s="189">
        <f t="shared" si="1"/>
        <v>507350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6">
        <f t="shared" si="6"/>
        <v>0</v>
      </c>
      <c r="BN12" s="189">
        <f t="shared" si="7"/>
        <v>10147000</v>
      </c>
    </row>
    <row r="13" spans="1:67" s="632" customFormat="1" ht="15" x14ac:dyDescent="0.25">
      <c r="A13" s="193">
        <v>7</v>
      </c>
      <c r="B13" s="194" t="s">
        <v>241</v>
      </c>
      <c r="C13" s="195" t="s">
        <v>242</v>
      </c>
      <c r="D13" s="194" t="s">
        <v>239</v>
      </c>
      <c r="E13" s="194" t="s">
        <v>243</v>
      </c>
      <c r="F13" s="196"/>
      <c r="G13" s="318" t="s">
        <v>164</v>
      </c>
      <c r="H13" s="633">
        <v>1500000</v>
      </c>
      <c r="I13" s="634">
        <f>40500*(25)</f>
        <v>1012500</v>
      </c>
      <c r="J13" s="189">
        <f t="shared" si="9"/>
        <v>160000</v>
      </c>
      <c r="K13" s="619">
        <v>200000</v>
      </c>
      <c r="L13" s="633">
        <v>1500000</v>
      </c>
      <c r="M13" s="634">
        <f>40500*(25-1)</f>
        <v>972000</v>
      </c>
      <c r="N13" s="189">
        <f>40000*(1+1+0+1)</f>
        <v>120000</v>
      </c>
      <c r="O13" s="619"/>
      <c r="P13" s="633">
        <v>1500000</v>
      </c>
      <c r="Q13" s="634">
        <f>40500*(25)</f>
        <v>1012500</v>
      </c>
      <c r="R13" s="189">
        <f t="shared" ref="R13:R20" si="16">40000*(1+1+1+1)</f>
        <v>160000</v>
      </c>
      <c r="S13" s="619">
        <v>200000</v>
      </c>
      <c r="T13" s="633">
        <v>1500000</v>
      </c>
      <c r="U13" s="634">
        <f>40500*(25)</f>
        <v>1012500</v>
      </c>
      <c r="V13" s="189">
        <f>40000*(1+1+1+1+1)</f>
        <v>200000</v>
      </c>
      <c r="W13" s="189">
        <v>200000</v>
      </c>
      <c r="X13" s="712">
        <f>T13+U13</f>
        <v>2512500</v>
      </c>
      <c r="Y13" s="633">
        <v>1500000</v>
      </c>
      <c r="Z13" s="634">
        <f>40500*(25)</f>
        <v>1012500</v>
      </c>
      <c r="AA13" s="189">
        <f t="shared" si="8"/>
        <v>160000</v>
      </c>
      <c r="AB13" s="619">
        <v>200000</v>
      </c>
      <c r="AC13" s="633">
        <v>1500000</v>
      </c>
      <c r="AD13" s="634">
        <f>40500*(25)</f>
        <v>1012500</v>
      </c>
      <c r="AE13" s="189">
        <f>40000*(1+1+1+1)</f>
        <v>160000</v>
      </c>
      <c r="AF13" s="619">
        <v>200000</v>
      </c>
      <c r="AG13" s="633">
        <v>1500000</v>
      </c>
      <c r="AH13" s="634">
        <f>40500*(25-1)</f>
        <v>972000</v>
      </c>
      <c r="AI13" s="189">
        <f>40000*(1+1+1+1+0)</f>
        <v>160000</v>
      </c>
      <c r="AJ13" s="619"/>
      <c r="AK13" s="633">
        <v>1500000</v>
      </c>
      <c r="AL13" s="634">
        <f>40500*(25)</f>
        <v>1012500</v>
      </c>
      <c r="AM13" s="189">
        <f t="shared" si="12"/>
        <v>160000</v>
      </c>
      <c r="AN13" s="619">
        <v>200000</v>
      </c>
      <c r="AO13" s="633">
        <v>1500000</v>
      </c>
      <c r="AP13" s="634">
        <f>40500*(25-5)</f>
        <v>810000</v>
      </c>
      <c r="AQ13" s="189">
        <f>40000*(1+0+1+0+1)</f>
        <v>120000</v>
      </c>
      <c r="AR13" s="619"/>
      <c r="AS13" s="633">
        <v>1500000</v>
      </c>
      <c r="AT13" s="634">
        <f>40500*(25)</f>
        <v>1012500</v>
      </c>
      <c r="AU13" s="189">
        <f t="shared" si="13"/>
        <v>160000</v>
      </c>
      <c r="AV13" s="619">
        <v>200000</v>
      </c>
      <c r="AW13" s="633">
        <v>1500000</v>
      </c>
      <c r="AX13" s="634">
        <f>40500*(25)</f>
        <v>1012500</v>
      </c>
      <c r="AY13" s="189">
        <f t="shared" si="14"/>
        <v>160000</v>
      </c>
      <c r="AZ13" s="619">
        <v>200000</v>
      </c>
      <c r="BA13" s="633">
        <v>1500000</v>
      </c>
      <c r="BB13" s="634">
        <f>40500*(25)</f>
        <v>1012500</v>
      </c>
      <c r="BC13" s="189">
        <f t="shared" si="15"/>
        <v>200000</v>
      </c>
      <c r="BD13" s="619">
        <v>200000</v>
      </c>
      <c r="BE13" s="633"/>
      <c r="BF13" s="325">
        <f>SUM(AP13:BE13)</f>
        <v>9587500</v>
      </c>
      <c r="BG13" s="189">
        <f t="shared" si="1"/>
        <v>479375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5">
        <f t="shared" si="6"/>
        <v>0</v>
      </c>
      <c r="BN13" s="189">
        <f t="shared" si="7"/>
        <v>9587500</v>
      </c>
    </row>
    <row r="14" spans="1:67" s="632" customFormat="1" ht="15" x14ac:dyDescent="0.25">
      <c r="A14" s="193">
        <v>8</v>
      </c>
      <c r="B14" s="194" t="s">
        <v>389</v>
      </c>
      <c r="C14" s="639" t="s">
        <v>2713</v>
      </c>
      <c r="D14" s="640" t="s">
        <v>388</v>
      </c>
      <c r="E14" s="640" t="s">
        <v>2714</v>
      </c>
      <c r="F14" s="196"/>
      <c r="G14" s="318" t="s">
        <v>165</v>
      </c>
      <c r="H14" s="633">
        <v>1100000</v>
      </c>
      <c r="I14" s="634">
        <f>50000*(25-11)</f>
        <v>700000</v>
      </c>
      <c r="J14" s="189">
        <f>40000*(0+0+1+1)</f>
        <v>80000</v>
      </c>
      <c r="K14" s="712"/>
      <c r="L14" s="633">
        <v>1100000</v>
      </c>
      <c r="M14" s="634">
        <f>50000*(25-2)</f>
        <v>1150000</v>
      </c>
      <c r="N14" s="189">
        <f>40000*(1+0+0+1)</f>
        <v>80000</v>
      </c>
      <c r="O14" s="619"/>
      <c r="P14" s="633">
        <v>1100000</v>
      </c>
      <c r="Q14" s="634">
        <f>50000*(25-2)</f>
        <v>1150000</v>
      </c>
      <c r="R14" s="189">
        <f>40000*(1+0+0+1)</f>
        <v>80000</v>
      </c>
      <c r="S14" s="619"/>
      <c r="T14" s="633">
        <v>1100000</v>
      </c>
      <c r="U14" s="634">
        <f>50000*(25-7)</f>
        <v>900000</v>
      </c>
      <c r="V14" s="189">
        <f>40000*(0+0+0+1+0)</f>
        <v>40000</v>
      </c>
      <c r="W14" s="189"/>
      <c r="X14" s="712">
        <f>T14+U14</f>
        <v>2000000</v>
      </c>
      <c r="Y14" s="633">
        <v>1100000</v>
      </c>
      <c r="Z14" s="634">
        <f>50000*(25-4)</f>
        <v>1050000</v>
      </c>
      <c r="AA14" s="189">
        <f>40000*(0+1+0+1)</f>
        <v>80000</v>
      </c>
      <c r="AB14" s="619"/>
      <c r="AC14" s="633">
        <v>1100000</v>
      </c>
      <c r="AD14" s="634">
        <f>50000*(25-2)</f>
        <v>1150000</v>
      </c>
      <c r="AE14" s="189">
        <f>40000*(1+0+1+0)</f>
        <v>80000</v>
      </c>
      <c r="AF14" s="619"/>
      <c r="AG14" s="633">
        <v>1100000</v>
      </c>
      <c r="AH14" s="634">
        <f>50000*(25-1)</f>
        <v>1200000</v>
      </c>
      <c r="AI14" s="189">
        <f>40000*(0+1+1+1+1)</f>
        <v>160000</v>
      </c>
      <c r="AJ14" s="619"/>
      <c r="AK14" s="633">
        <v>1100000</v>
      </c>
      <c r="AL14" s="634">
        <f>50000*(25-3)</f>
        <v>1100000</v>
      </c>
      <c r="AM14" s="189">
        <f>40000*(0+0+0+1)</f>
        <v>40000</v>
      </c>
      <c r="AN14" s="619"/>
      <c r="AO14" s="633">
        <v>1100000</v>
      </c>
      <c r="AP14" s="634">
        <f>50000*(25-2)</f>
        <v>1150000</v>
      </c>
      <c r="AQ14" s="189">
        <f>40000*(0+1+0+1+1)</f>
        <v>120000</v>
      </c>
      <c r="AR14" s="619"/>
      <c r="AS14" s="633">
        <v>1100000</v>
      </c>
      <c r="AT14" s="634">
        <f>50000*(25-3)</f>
        <v>1100000</v>
      </c>
      <c r="AU14" s="189">
        <f>40000*(1+0+1+0)</f>
        <v>80000</v>
      </c>
      <c r="AV14" s="619"/>
      <c r="AW14" s="633">
        <f>1100000-10000</f>
        <v>1090000</v>
      </c>
      <c r="AX14" s="634">
        <f>50000*(25-1)</f>
        <v>1200000</v>
      </c>
      <c r="AY14" s="189">
        <f>40000*(0+0+1+1)</f>
        <v>80000</v>
      </c>
      <c r="AZ14" s="619"/>
      <c r="BA14" s="633">
        <f>1100000-10000</f>
        <v>1090000</v>
      </c>
      <c r="BB14" s="634">
        <f>50000*(25-4)</f>
        <v>1050000</v>
      </c>
      <c r="BC14" s="189">
        <f>40000*(1+1+0+0+0)</f>
        <v>80000</v>
      </c>
      <c r="BD14" s="619"/>
      <c r="BE14" s="633"/>
      <c r="BF14" s="325">
        <f>SUM(AP14:BE14)</f>
        <v>8140000</v>
      </c>
      <c r="BG14" s="189">
        <f t="shared" si="1"/>
        <v>407000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5">
        <f t="shared" si="6"/>
        <v>0</v>
      </c>
      <c r="BN14" s="189">
        <f t="shared" si="7"/>
        <v>8140000</v>
      </c>
    </row>
    <row r="15" spans="1:67" s="632" customFormat="1" ht="15" x14ac:dyDescent="0.25">
      <c r="A15" s="193">
        <v>9</v>
      </c>
      <c r="B15" s="194" t="s">
        <v>244</v>
      </c>
      <c r="C15" s="195" t="s">
        <v>245</v>
      </c>
      <c r="D15" s="194" t="s">
        <v>191</v>
      </c>
      <c r="E15" s="194" t="s">
        <v>246</v>
      </c>
      <c r="F15" s="196"/>
      <c r="G15" s="318" t="s">
        <v>164</v>
      </c>
      <c r="H15" s="633">
        <v>2100000</v>
      </c>
      <c r="I15" s="634">
        <f>(43000*25)+25000</f>
        <v>1100000</v>
      </c>
      <c r="J15" s="189">
        <f t="shared" si="9"/>
        <v>160000</v>
      </c>
      <c r="K15" s="619">
        <v>200000</v>
      </c>
      <c r="L15" s="633">
        <v>2100000</v>
      </c>
      <c r="M15" s="634">
        <f>43000*(25)</f>
        <v>1075000</v>
      </c>
      <c r="N15" s="189">
        <f t="shared" si="10"/>
        <v>160000</v>
      </c>
      <c r="O15" s="619">
        <v>200000</v>
      </c>
      <c r="P15" s="633">
        <v>2100000</v>
      </c>
      <c r="Q15" s="634">
        <f>43000*(25)</f>
        <v>1075000</v>
      </c>
      <c r="R15" s="189">
        <f t="shared" si="16"/>
        <v>160000</v>
      </c>
      <c r="S15" s="619">
        <v>200000</v>
      </c>
      <c r="T15" s="633">
        <v>2100000</v>
      </c>
      <c r="U15" s="634">
        <f>43000*(25)</f>
        <v>1075000</v>
      </c>
      <c r="V15" s="189">
        <f>40000*(1+1+1+1+1)</f>
        <v>200000</v>
      </c>
      <c r="W15" s="189">
        <v>200000</v>
      </c>
      <c r="X15" s="712">
        <f>T15+U15</f>
        <v>3175000</v>
      </c>
      <c r="Y15" s="633">
        <v>2100000</v>
      </c>
      <c r="Z15" s="634">
        <f>43000*(25)</f>
        <v>1075000</v>
      </c>
      <c r="AA15" s="189">
        <f t="shared" si="8"/>
        <v>160000</v>
      </c>
      <c r="AB15" s="619">
        <v>200000</v>
      </c>
      <c r="AC15" s="633">
        <v>2100000</v>
      </c>
      <c r="AD15" s="634">
        <f>43000*(25)</f>
        <v>1075000</v>
      </c>
      <c r="AE15" s="189">
        <f>40000*(1+1+1+1)</f>
        <v>160000</v>
      </c>
      <c r="AF15" s="619">
        <v>200000</v>
      </c>
      <c r="AG15" s="633">
        <v>2100000</v>
      </c>
      <c r="AH15" s="634">
        <f>43000*(25)</f>
        <v>1075000</v>
      </c>
      <c r="AI15" s="189">
        <f t="shared" si="11"/>
        <v>200000</v>
      </c>
      <c r="AJ15" s="619">
        <v>200000</v>
      </c>
      <c r="AK15" s="633">
        <v>2100000</v>
      </c>
      <c r="AL15" s="634">
        <f>43000*(25)</f>
        <v>1075000</v>
      </c>
      <c r="AM15" s="189">
        <f t="shared" si="12"/>
        <v>160000</v>
      </c>
      <c r="AN15" s="619">
        <v>200000</v>
      </c>
      <c r="AO15" s="633">
        <v>2100000</v>
      </c>
      <c r="AP15" s="634">
        <f>43000*(25-1)</f>
        <v>1032000</v>
      </c>
      <c r="AQ15" s="189">
        <f>40000*(1+1+1+0+1)</f>
        <v>160000</v>
      </c>
      <c r="AR15" s="619"/>
      <c r="AS15" s="633">
        <v>2100000</v>
      </c>
      <c r="AT15" s="634">
        <f>43000*(25)</f>
        <v>1075000</v>
      </c>
      <c r="AU15" s="189">
        <f t="shared" si="13"/>
        <v>160000</v>
      </c>
      <c r="AV15" s="619">
        <v>200000</v>
      </c>
      <c r="AW15" s="633">
        <v>2100000</v>
      </c>
      <c r="AX15" s="634">
        <f>43000*(25)</f>
        <v>1075000</v>
      </c>
      <c r="AY15" s="189">
        <f t="shared" si="14"/>
        <v>160000</v>
      </c>
      <c r="AZ15" s="619">
        <v>200000</v>
      </c>
      <c r="BA15" s="633">
        <v>2100000</v>
      </c>
      <c r="BB15" s="634">
        <f>43000*(25)</f>
        <v>1075000</v>
      </c>
      <c r="BC15" s="189">
        <f t="shared" si="15"/>
        <v>200000</v>
      </c>
      <c r="BD15" s="619">
        <v>200000</v>
      </c>
      <c r="BE15" s="633"/>
      <c r="BF15" s="326">
        <f>SUM(AP15:BE15)</f>
        <v>11837000</v>
      </c>
      <c r="BG15" s="189">
        <f t="shared" si="1"/>
        <v>591850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6">
        <f t="shared" si="6"/>
        <v>0</v>
      </c>
      <c r="BN15" s="189">
        <f t="shared" si="7"/>
        <v>11837000</v>
      </c>
    </row>
    <row r="16" spans="1:67" s="632" customFormat="1" ht="15" x14ac:dyDescent="0.25">
      <c r="A16" s="193">
        <v>10</v>
      </c>
      <c r="B16" s="194" t="s">
        <v>247</v>
      </c>
      <c r="C16" s="195" t="s">
        <v>248</v>
      </c>
      <c r="D16" s="194" t="s">
        <v>249</v>
      </c>
      <c r="E16" s="194" t="s">
        <v>250</v>
      </c>
      <c r="F16" s="196"/>
      <c r="G16" s="318" t="s">
        <v>165</v>
      </c>
      <c r="H16" s="633">
        <f>((110000*12)-10000)+((110000*12)-10000)</f>
        <v>2620000</v>
      </c>
      <c r="I16" s="634"/>
      <c r="J16" s="189">
        <f t="shared" si="9"/>
        <v>160000</v>
      </c>
      <c r="K16" s="712"/>
      <c r="L16" s="633">
        <f>(110000*12)+(110000*(11-5))</f>
        <v>1980000</v>
      </c>
      <c r="M16" s="634"/>
      <c r="N16" s="189">
        <f>40000*(1+1+0+0)</f>
        <v>80000</v>
      </c>
      <c r="O16" s="619"/>
      <c r="P16" s="633">
        <f>(110000*12)+(110000*(12-1))</f>
        <v>2530000</v>
      </c>
      <c r="Q16" s="634"/>
      <c r="R16" s="189">
        <f>40000*(1+1+0+1)</f>
        <v>120000</v>
      </c>
      <c r="S16" s="619"/>
      <c r="T16" s="633">
        <f>((110000*11)-10000)+((110000*8)-10000)</f>
        <v>2070000</v>
      </c>
      <c r="U16" s="634"/>
      <c r="V16" s="189">
        <f>40000*(1+1+1+1+0)</f>
        <v>160000</v>
      </c>
      <c r="W16" s="189"/>
      <c r="X16" s="712">
        <v>2640000</v>
      </c>
      <c r="Y16" s="633">
        <f>(110000*(9-4))+(110000*11)</f>
        <v>1760000</v>
      </c>
      <c r="Z16" s="634"/>
      <c r="AA16" s="189">
        <f>40000*(1+1+1+1)</f>
        <v>160000</v>
      </c>
      <c r="AB16" s="619"/>
      <c r="AC16" s="633">
        <f>(110000*11)+(110000*12)</f>
        <v>2530000</v>
      </c>
      <c r="AD16" s="634"/>
      <c r="AE16" s="189">
        <f>40000*(1+1+1+1)</f>
        <v>160000</v>
      </c>
      <c r="AF16" s="619"/>
      <c r="AG16" s="633">
        <f>(110000*(11-2))+(110000*12)+(110000*11)</f>
        <v>3520000</v>
      </c>
      <c r="AH16" s="634"/>
      <c r="AI16" s="189">
        <f>40000*(0+1+1+1+1)</f>
        <v>160000</v>
      </c>
      <c r="AJ16" s="619"/>
      <c r="AK16" s="638">
        <f>(110000*(12-3))+(110000*(11-4))</f>
        <v>1760000</v>
      </c>
      <c r="AL16" s="634"/>
      <c r="AM16" s="189">
        <f>40000*(1+0+0+1)</f>
        <v>80000</v>
      </c>
      <c r="AN16" s="619"/>
      <c r="AO16" s="638">
        <f>(110000*12)+(110000*(12-2))</f>
        <v>2420000</v>
      </c>
      <c r="AP16" s="634"/>
      <c r="AQ16" s="189">
        <f>40000*(0+1+0+1+1)</f>
        <v>120000</v>
      </c>
      <c r="AR16" s="619"/>
      <c r="AS16" s="638">
        <f>((110000*11)-10000)+((110000*12)-10000)</f>
        <v>2510000</v>
      </c>
      <c r="AT16" s="634"/>
      <c r="AU16" s="189">
        <f>40000*(0+0+1+0)</f>
        <v>40000</v>
      </c>
      <c r="AV16" s="619"/>
      <c r="AW16" s="638">
        <f>((110000*(12-1))-10000)+((110000*(12-1))-10000)</f>
        <v>2400000</v>
      </c>
      <c r="AX16" s="634"/>
      <c r="AY16" s="189">
        <f>40000*(1+0+1+0)</f>
        <v>80000</v>
      </c>
      <c r="AZ16" s="619"/>
      <c r="BA16" s="638">
        <f>(110000*(12-1))+(110000*(12-1))+(110000*12)</f>
        <v>3740000</v>
      </c>
      <c r="BB16" s="634"/>
      <c r="BC16" s="189">
        <f>40000*(1+1+0+1+1)</f>
        <v>160000</v>
      </c>
      <c r="BD16" s="619"/>
      <c r="BE16" s="633"/>
      <c r="BF16" s="325">
        <f>SUM(AP16:BE16)</f>
        <v>9050000</v>
      </c>
      <c r="BG16" s="189">
        <f t="shared" si="1"/>
        <v>452500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5">
        <f t="shared" si="6"/>
        <v>0</v>
      </c>
      <c r="BN16" s="189">
        <f t="shared" si="7"/>
        <v>9050000</v>
      </c>
    </row>
    <row r="17" spans="1:66" s="632" customFormat="1" ht="15" x14ac:dyDescent="0.25">
      <c r="A17" s="193">
        <v>11</v>
      </c>
      <c r="B17" s="194" t="s">
        <v>252</v>
      </c>
      <c r="C17" s="195" t="s">
        <v>253</v>
      </c>
      <c r="D17" s="194" t="s">
        <v>251</v>
      </c>
      <c r="E17" s="194" t="s">
        <v>254</v>
      </c>
      <c r="F17" s="196"/>
      <c r="G17" s="318" t="s">
        <v>165</v>
      </c>
      <c r="H17" s="633">
        <f>(110000*12)+(110000*12)</f>
        <v>2640000</v>
      </c>
      <c r="I17" s="634">
        <v>25000</v>
      </c>
      <c r="J17" s="189">
        <f t="shared" si="9"/>
        <v>160000</v>
      </c>
      <c r="K17" s="619">
        <v>200000</v>
      </c>
      <c r="L17" s="633">
        <f>(110000*12)+(110000*11)</f>
        <v>2530000</v>
      </c>
      <c r="M17" s="634"/>
      <c r="N17" s="189">
        <f t="shared" si="10"/>
        <v>160000</v>
      </c>
      <c r="O17" s="619">
        <v>200000</v>
      </c>
      <c r="P17" s="633">
        <f>(110000*12)+(110000*12)</f>
        <v>2640000</v>
      </c>
      <c r="Q17" s="634"/>
      <c r="R17" s="189">
        <f t="shared" si="16"/>
        <v>160000</v>
      </c>
      <c r="S17" s="619">
        <v>200000</v>
      </c>
      <c r="T17" s="633">
        <f>(110000*11)+(110000*8)</f>
        <v>2090000</v>
      </c>
      <c r="U17" s="634"/>
      <c r="V17" s="189">
        <f>40000*(1+1+1+1+1)</f>
        <v>200000</v>
      </c>
      <c r="W17" s="189">
        <v>200000</v>
      </c>
      <c r="X17" s="712">
        <v>2640000</v>
      </c>
      <c r="Y17" s="633">
        <f>(110000*9)+(110000*11)</f>
        <v>2200000</v>
      </c>
      <c r="Z17" s="634"/>
      <c r="AA17" s="189">
        <f t="shared" si="8"/>
        <v>160000</v>
      </c>
      <c r="AB17" s="619">
        <v>200000</v>
      </c>
      <c r="AC17" s="633">
        <f t="shared" ref="AC17:AC18" si="17">(110000*11)+(110000*12)</f>
        <v>2530000</v>
      </c>
      <c r="AD17" s="634"/>
      <c r="AE17" s="189">
        <f>40000*(1+1+1+1)</f>
        <v>160000</v>
      </c>
      <c r="AF17" s="619">
        <v>200000</v>
      </c>
      <c r="AG17" s="633">
        <f>(110000*11)+(110000*12)+(110000*11)</f>
        <v>3740000</v>
      </c>
      <c r="AH17" s="634"/>
      <c r="AI17" s="189">
        <f t="shared" si="11"/>
        <v>200000</v>
      </c>
      <c r="AJ17" s="619">
        <v>200000</v>
      </c>
      <c r="AK17" s="638">
        <f>(110000*12)+(110000*11)</f>
        <v>2530000</v>
      </c>
      <c r="AL17" s="634"/>
      <c r="AM17" s="189">
        <f t="shared" si="12"/>
        <v>160000</v>
      </c>
      <c r="AN17" s="619">
        <v>200000</v>
      </c>
      <c r="AO17" s="638">
        <f t="shared" ref="AO17:AO20" si="18">(110000*12)+(110000*12)</f>
        <v>2640000</v>
      </c>
      <c r="AP17" s="634"/>
      <c r="AQ17" s="189">
        <f t="shared" ref="AQ17:AQ20" si="19">40000*(1+1+1+1+1)</f>
        <v>200000</v>
      </c>
      <c r="AR17" s="619">
        <v>200000</v>
      </c>
      <c r="AS17" s="638">
        <f>(110000*11)+(110000*12)</f>
        <v>2530000</v>
      </c>
      <c r="AT17" s="634"/>
      <c r="AU17" s="189">
        <f t="shared" si="13"/>
        <v>160000</v>
      </c>
      <c r="AV17" s="619">
        <v>200000</v>
      </c>
      <c r="AW17" s="638">
        <f>(110000*12)+(110000*12)</f>
        <v>2640000</v>
      </c>
      <c r="AX17" s="634"/>
      <c r="AY17" s="189">
        <f t="shared" si="14"/>
        <v>160000</v>
      </c>
      <c r="AZ17" s="619">
        <v>200000</v>
      </c>
      <c r="BA17" s="638">
        <f>(110000*12)+(110000*12)+(110000*12)</f>
        <v>3960000</v>
      </c>
      <c r="BB17" s="634"/>
      <c r="BC17" s="189">
        <f t="shared" si="15"/>
        <v>200000</v>
      </c>
      <c r="BD17" s="619">
        <v>200000</v>
      </c>
      <c r="BE17" s="633"/>
      <c r="BF17" s="325">
        <f t="shared" si="0"/>
        <v>10650000</v>
      </c>
      <c r="BG17" s="189">
        <f t="shared" si="1"/>
        <v>532500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5">
        <f t="shared" si="6"/>
        <v>0</v>
      </c>
      <c r="BN17" s="189">
        <f t="shared" si="7"/>
        <v>10650000</v>
      </c>
    </row>
    <row r="18" spans="1:66" s="632" customFormat="1" ht="15" x14ac:dyDescent="0.25">
      <c r="A18" s="193">
        <v>12</v>
      </c>
      <c r="B18" s="194" t="s">
        <v>255</v>
      </c>
      <c r="C18" s="195" t="s">
        <v>256</v>
      </c>
      <c r="D18" s="194" t="s">
        <v>251</v>
      </c>
      <c r="E18" s="194" t="s">
        <v>257</v>
      </c>
      <c r="F18" s="196"/>
      <c r="G18" s="318" t="s">
        <v>164</v>
      </c>
      <c r="H18" s="633">
        <f>(110000*12)+(110000*12)</f>
        <v>2640000</v>
      </c>
      <c r="I18" s="634"/>
      <c r="J18" s="189">
        <f>40000*(1+1+0+0)</f>
        <v>80000</v>
      </c>
      <c r="K18" s="712"/>
      <c r="L18" s="633">
        <f>(110000*12)+(110000*(11-5))</f>
        <v>1980000</v>
      </c>
      <c r="M18" s="634"/>
      <c r="N18" s="189">
        <f>40000*(1+1+0+1)</f>
        <v>120000</v>
      </c>
      <c r="O18" s="619"/>
      <c r="P18" s="633">
        <f>(110000*12)+(110000*12)</f>
        <v>2640000</v>
      </c>
      <c r="Q18" s="634"/>
      <c r="R18" s="189">
        <f t="shared" si="16"/>
        <v>160000</v>
      </c>
      <c r="S18" s="619">
        <v>200000</v>
      </c>
      <c r="T18" s="633">
        <f>(110000*11)+(110000*8)</f>
        <v>2090000</v>
      </c>
      <c r="U18" s="634"/>
      <c r="V18" s="189">
        <f>40000*(1+1+1+1+1)</f>
        <v>200000</v>
      </c>
      <c r="W18" s="189">
        <v>200000</v>
      </c>
      <c r="X18" s="712">
        <v>2640000</v>
      </c>
      <c r="Y18" s="633">
        <f>(110000*9)+(110000*11)</f>
        <v>2200000</v>
      </c>
      <c r="Z18" s="634"/>
      <c r="AA18" s="189">
        <f t="shared" si="8"/>
        <v>160000</v>
      </c>
      <c r="AB18" s="619">
        <v>200000</v>
      </c>
      <c r="AC18" s="633">
        <f t="shared" si="17"/>
        <v>2530000</v>
      </c>
      <c r="AD18" s="634"/>
      <c r="AE18" s="189">
        <f>40000*(1+1+1+1)</f>
        <v>160000</v>
      </c>
      <c r="AF18" s="619">
        <v>200000</v>
      </c>
      <c r="AG18" s="633">
        <f t="shared" ref="AG18:AG20" si="20">(110000*11)+(110000*12)+(110000*11)</f>
        <v>3740000</v>
      </c>
      <c r="AH18" s="634"/>
      <c r="AI18" s="189">
        <f t="shared" si="11"/>
        <v>200000</v>
      </c>
      <c r="AJ18" s="619">
        <v>200000</v>
      </c>
      <c r="AK18" s="638">
        <f>(110000*12)+(110000*11)</f>
        <v>2530000</v>
      </c>
      <c r="AL18" s="634"/>
      <c r="AM18" s="189">
        <f t="shared" si="12"/>
        <v>160000</v>
      </c>
      <c r="AN18" s="619">
        <v>200000</v>
      </c>
      <c r="AO18" s="638">
        <f t="shared" si="18"/>
        <v>2640000</v>
      </c>
      <c r="AP18" s="634"/>
      <c r="AQ18" s="189">
        <f t="shared" si="19"/>
        <v>200000</v>
      </c>
      <c r="AR18" s="619">
        <v>200000</v>
      </c>
      <c r="AS18" s="638">
        <f>(110000*(11-1))+(110000*(12-2))</f>
        <v>2200000</v>
      </c>
      <c r="AT18" s="634"/>
      <c r="AU18" s="189">
        <f>40000*(0+0+1+1)</f>
        <v>80000</v>
      </c>
      <c r="AV18" s="619"/>
      <c r="AW18" s="638">
        <f>(110000*12)+(110000*12)</f>
        <v>2640000</v>
      </c>
      <c r="AX18" s="634"/>
      <c r="AY18" s="189">
        <f t="shared" si="14"/>
        <v>160000</v>
      </c>
      <c r="AZ18" s="619">
        <v>200000</v>
      </c>
      <c r="BA18" s="638">
        <f t="shared" ref="BA18:BA20" si="21">(110000*12)+(110000*12)+(110000*12)</f>
        <v>3960000</v>
      </c>
      <c r="BB18" s="634"/>
      <c r="BC18" s="189">
        <f t="shared" si="15"/>
        <v>200000</v>
      </c>
      <c r="BD18" s="619">
        <v>200000</v>
      </c>
      <c r="BE18" s="633"/>
      <c r="BF18" s="325">
        <f t="shared" si="0"/>
        <v>10040000</v>
      </c>
      <c r="BG18" s="189">
        <f t="shared" si="1"/>
        <v>502000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5">
        <f t="shared" si="6"/>
        <v>0</v>
      </c>
      <c r="BN18" s="189">
        <f t="shared" si="7"/>
        <v>10040000</v>
      </c>
    </row>
    <row r="19" spans="1:66" s="632" customFormat="1" ht="15" x14ac:dyDescent="0.25">
      <c r="A19" s="193">
        <v>13</v>
      </c>
      <c r="B19" s="194" t="s">
        <v>258</v>
      </c>
      <c r="C19" s="195" t="s">
        <v>259</v>
      </c>
      <c r="D19" s="194" t="s">
        <v>249</v>
      </c>
      <c r="E19" s="194" t="s">
        <v>260</v>
      </c>
      <c r="F19" s="196"/>
      <c r="G19" s="318" t="s">
        <v>165</v>
      </c>
      <c r="H19" s="633">
        <f>(110000*12)+(110000*12)</f>
        <v>2640000</v>
      </c>
      <c r="I19" s="634">
        <v>25000</v>
      </c>
      <c r="J19" s="189">
        <f t="shared" si="9"/>
        <v>160000</v>
      </c>
      <c r="K19" s="619">
        <v>200000</v>
      </c>
      <c r="L19" s="633">
        <f>(110000*(12-1))+(110000*11)</f>
        <v>2420000</v>
      </c>
      <c r="M19" s="634"/>
      <c r="N19" s="189">
        <f>40000*(0+1+1+1)</f>
        <v>120000</v>
      </c>
      <c r="O19" s="619"/>
      <c r="P19" s="633">
        <f>(110000*12)+(110000*12)</f>
        <v>2640000</v>
      </c>
      <c r="Q19" s="634"/>
      <c r="R19" s="189">
        <f t="shared" si="16"/>
        <v>160000</v>
      </c>
      <c r="S19" s="619">
        <v>200000</v>
      </c>
      <c r="T19" s="633">
        <f>(110000*10)+(110000*8)</f>
        <v>1980000</v>
      </c>
      <c r="U19" s="634"/>
      <c r="V19" s="189">
        <f>40000*(1+0+1+1+1)</f>
        <v>160000</v>
      </c>
      <c r="W19" s="189"/>
      <c r="X19" s="712">
        <v>2640000</v>
      </c>
      <c r="Y19" s="633">
        <f>(110000*9)+(110000*11)</f>
        <v>2200000</v>
      </c>
      <c r="Z19" s="634"/>
      <c r="AA19" s="189">
        <f t="shared" si="8"/>
        <v>160000</v>
      </c>
      <c r="AB19" s="619">
        <v>200000</v>
      </c>
      <c r="AC19" s="633">
        <f>(110000*(11-1))+(110000*12)</f>
        <v>2420000</v>
      </c>
      <c r="AD19" s="634"/>
      <c r="AE19" s="189">
        <f>40000*(1+1+1+1)</f>
        <v>160000</v>
      </c>
      <c r="AF19" s="619">
        <v>200000</v>
      </c>
      <c r="AG19" s="633">
        <f t="shared" si="20"/>
        <v>3740000</v>
      </c>
      <c r="AH19" s="634"/>
      <c r="AI19" s="189">
        <f t="shared" si="11"/>
        <v>200000</v>
      </c>
      <c r="AJ19" s="619">
        <v>200000</v>
      </c>
      <c r="AK19" s="638">
        <f t="shared" ref="AK19" si="22">(110000*12)+(110000*11)</f>
        <v>2530000</v>
      </c>
      <c r="AL19" s="634"/>
      <c r="AM19" s="189">
        <f t="shared" si="12"/>
        <v>160000</v>
      </c>
      <c r="AN19" s="619">
        <v>200000</v>
      </c>
      <c r="AO19" s="638">
        <f t="shared" si="18"/>
        <v>2640000</v>
      </c>
      <c r="AP19" s="634"/>
      <c r="AQ19" s="189">
        <f t="shared" si="19"/>
        <v>200000</v>
      </c>
      <c r="AR19" s="619">
        <v>200000</v>
      </c>
      <c r="AS19" s="638">
        <f>(110000*(11-1))+(110000*12)</f>
        <v>2420000</v>
      </c>
      <c r="AT19" s="634"/>
      <c r="AU19" s="189">
        <f>40000*(0+1+1+1)</f>
        <v>120000</v>
      </c>
      <c r="AV19" s="619"/>
      <c r="AW19" s="638">
        <f>(110000*(12-1))+(110000*(12-7))</f>
        <v>1760000</v>
      </c>
      <c r="AX19" s="634"/>
      <c r="AY19" s="189">
        <f>40000*(0+0+0+1)</f>
        <v>40000</v>
      </c>
      <c r="AZ19" s="619"/>
      <c r="BA19" s="638">
        <f>(110000*12)+(110000*12)+(110000*(12-1))</f>
        <v>3850000</v>
      </c>
      <c r="BB19" s="634"/>
      <c r="BC19" s="189">
        <f>40000*(1+1+1+0+1)</f>
        <v>160000</v>
      </c>
      <c r="BD19" s="619"/>
      <c r="BE19" s="633"/>
      <c r="BF19" s="326">
        <f t="shared" si="0"/>
        <v>8750000</v>
      </c>
      <c r="BG19" s="189">
        <f t="shared" si="1"/>
        <v>437500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6">
        <f t="shared" si="6"/>
        <v>0</v>
      </c>
      <c r="BN19" s="189">
        <f t="shared" si="7"/>
        <v>8750000</v>
      </c>
    </row>
    <row r="20" spans="1:66" s="632" customFormat="1" ht="15" x14ac:dyDescent="0.25">
      <c r="A20" s="193">
        <v>14</v>
      </c>
      <c r="B20" s="194" t="s">
        <v>387</v>
      </c>
      <c r="C20" s="195" t="s">
        <v>5992</v>
      </c>
      <c r="D20" s="194" t="s">
        <v>191</v>
      </c>
      <c r="E20" s="194" t="s">
        <v>5991</v>
      </c>
      <c r="F20" s="196"/>
      <c r="G20" s="678" t="s">
        <v>162</v>
      </c>
      <c r="H20" s="633">
        <f>(110000*12)+((110000*12)-(110000*2))</f>
        <v>2420000</v>
      </c>
      <c r="I20" s="634"/>
      <c r="J20" s="189">
        <f>40000*(1+1+0+1)</f>
        <v>120000</v>
      </c>
      <c r="K20" s="712"/>
      <c r="L20" s="633">
        <f>(110000*12)+(110000*11)</f>
        <v>2530000</v>
      </c>
      <c r="M20" s="634"/>
      <c r="N20" s="189">
        <f t="shared" si="10"/>
        <v>160000</v>
      </c>
      <c r="O20" s="619">
        <v>200000</v>
      </c>
      <c r="P20" s="633">
        <f>(110000*12)+(110000*12)</f>
        <v>2640000</v>
      </c>
      <c r="Q20" s="634"/>
      <c r="R20" s="189">
        <f t="shared" si="16"/>
        <v>160000</v>
      </c>
      <c r="S20" s="619">
        <v>200000</v>
      </c>
      <c r="T20" s="633">
        <f>(110000*11)+(110000*8)</f>
        <v>2090000</v>
      </c>
      <c r="U20" s="634"/>
      <c r="V20" s="189">
        <f>40000*(1+1+1+1+1)</f>
        <v>200000</v>
      </c>
      <c r="W20" s="189">
        <v>200000</v>
      </c>
      <c r="X20" s="712">
        <v>2640000</v>
      </c>
      <c r="Y20" s="633">
        <f>(110000*9)+(110000*11)</f>
        <v>2200000</v>
      </c>
      <c r="Z20" s="634"/>
      <c r="AA20" s="189">
        <f t="shared" si="8"/>
        <v>160000</v>
      </c>
      <c r="AB20" s="619">
        <v>200000</v>
      </c>
      <c r="AC20" s="633">
        <f>(110000*11)+(110000*(12-4))</f>
        <v>2090000</v>
      </c>
      <c r="AD20" s="634"/>
      <c r="AE20" s="189">
        <f>40000*(1+1+0+1)</f>
        <v>120000</v>
      </c>
      <c r="AF20" s="619"/>
      <c r="AG20" s="633">
        <f t="shared" si="20"/>
        <v>3740000</v>
      </c>
      <c r="AH20" s="634"/>
      <c r="AI20" s="189">
        <f t="shared" si="11"/>
        <v>200000</v>
      </c>
      <c r="AJ20" s="619">
        <v>200000</v>
      </c>
      <c r="AK20" s="638">
        <f>(110000*(12-1))+(110000*11)</f>
        <v>2420000</v>
      </c>
      <c r="AL20" s="634"/>
      <c r="AM20" s="189">
        <f>40000*(0+0+1+1)</f>
        <v>80000</v>
      </c>
      <c r="AN20" s="619"/>
      <c r="AO20" s="638">
        <f t="shared" si="18"/>
        <v>2640000</v>
      </c>
      <c r="AP20" s="634"/>
      <c r="AQ20" s="189">
        <f t="shared" si="19"/>
        <v>200000</v>
      </c>
      <c r="AR20" s="619">
        <v>200000</v>
      </c>
      <c r="AS20" s="638">
        <f t="shared" ref="AS20" si="23">(110000*11)+(110000*12)</f>
        <v>2530000</v>
      </c>
      <c r="AT20" s="634"/>
      <c r="AU20" s="189">
        <f t="shared" si="13"/>
        <v>160000</v>
      </c>
      <c r="AV20" s="619">
        <v>200000</v>
      </c>
      <c r="AW20" s="638">
        <f>(110000*12)+(110000*12)</f>
        <v>2640000</v>
      </c>
      <c r="AX20" s="634"/>
      <c r="AY20" s="189">
        <f t="shared" si="14"/>
        <v>160000</v>
      </c>
      <c r="AZ20" s="619">
        <v>200000</v>
      </c>
      <c r="BA20" s="638">
        <f t="shared" si="21"/>
        <v>3960000</v>
      </c>
      <c r="BB20" s="634"/>
      <c r="BC20" s="189">
        <f t="shared" si="15"/>
        <v>200000</v>
      </c>
      <c r="BD20" s="619">
        <v>200000</v>
      </c>
      <c r="BE20" s="633"/>
      <c r="BF20" s="326">
        <f t="shared" si="0"/>
        <v>10650000</v>
      </c>
      <c r="BG20" s="189">
        <f t="shared" si="1"/>
        <v>532500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6">
        <f t="shared" si="6"/>
        <v>0</v>
      </c>
      <c r="BN20" s="189">
        <f t="shared" si="7"/>
        <v>10650000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3"/>
      <c r="H21" s="620"/>
      <c r="I21" s="187"/>
      <c r="J21" s="635"/>
      <c r="K21" s="636"/>
      <c r="L21" s="615"/>
      <c r="M21" s="187"/>
      <c r="N21" s="635"/>
      <c r="O21" s="637"/>
      <c r="P21" s="620"/>
      <c r="Q21" s="187"/>
      <c r="R21" s="635"/>
      <c r="S21" s="636"/>
      <c r="T21" s="616"/>
      <c r="U21" s="187"/>
      <c r="V21" s="635"/>
      <c r="W21" s="637"/>
      <c r="X21" s="678"/>
      <c r="Y21" s="617"/>
      <c r="Z21" s="187"/>
      <c r="AA21" s="635"/>
      <c r="AB21" s="636"/>
      <c r="AC21" s="617"/>
      <c r="AD21" s="187"/>
      <c r="AE21" s="635"/>
      <c r="AF21" s="637"/>
      <c r="AG21" s="617"/>
      <c r="AH21" s="187"/>
      <c r="AI21" s="635"/>
      <c r="AJ21" s="636"/>
      <c r="AK21" s="641"/>
      <c r="AL21" s="187"/>
      <c r="AM21" s="635"/>
      <c r="AN21" s="637"/>
      <c r="AO21" s="642"/>
      <c r="AP21" s="187"/>
      <c r="AQ21" s="635"/>
      <c r="AR21" s="636"/>
      <c r="AS21" s="641"/>
      <c r="AT21" s="187"/>
      <c r="AU21" s="635"/>
      <c r="AV21" s="637"/>
      <c r="AW21" s="642"/>
      <c r="AX21" s="187"/>
      <c r="AY21" s="635"/>
      <c r="AZ21" s="636"/>
      <c r="BA21" s="641"/>
      <c r="BB21" s="187"/>
      <c r="BC21" s="635"/>
      <c r="BD21" s="637"/>
      <c r="BE21" s="618"/>
      <c r="BF21" s="325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5">
        <f>BK21-BL21</f>
        <v>0</v>
      </c>
      <c r="BN21" s="189">
        <f>BF21-BM21</f>
        <v>0</v>
      </c>
    </row>
    <row r="22" spans="1:66" customFormat="1" ht="15" x14ac:dyDescent="0.25">
      <c r="A22" s="643"/>
      <c r="B22" s="644"/>
      <c r="C22" s="645"/>
      <c r="D22" s="646"/>
      <c r="E22" s="644"/>
      <c r="F22" s="645"/>
      <c r="G22" s="651"/>
      <c r="H22" s="650">
        <f>SUM(H7:H15)</f>
        <v>22890000</v>
      </c>
      <c r="I22" s="649">
        <f>SUM(I7:I21)</f>
        <v>5000000</v>
      </c>
      <c r="J22" s="649">
        <f>SUM(J7:J21)</f>
        <v>1400000</v>
      </c>
      <c r="K22" s="647">
        <f>SUM(K7:K21)</f>
        <v>1000000</v>
      </c>
      <c r="L22" s="648">
        <f>SUM(L7:L15)</f>
        <v>22900000</v>
      </c>
      <c r="M22" s="649">
        <f>SUM(M7:M21)</f>
        <v>5180500</v>
      </c>
      <c r="N22" s="649">
        <f>SUM(N7:N21)</f>
        <v>1280000</v>
      </c>
      <c r="O22" s="651">
        <f>SUM(O7:O21)</f>
        <v>800000</v>
      </c>
      <c r="P22" s="650">
        <f>SUM(P7:P15)</f>
        <v>22900000</v>
      </c>
      <c r="Q22" s="649">
        <f>SUM(Q7:Q21)</f>
        <v>5308500</v>
      </c>
      <c r="R22" s="649">
        <f>SUM(R7:R21)</f>
        <v>1440000</v>
      </c>
      <c r="S22" s="647">
        <f>SUM(S7:S21)</f>
        <v>1400000</v>
      </c>
      <c r="T22" s="648">
        <f>SUM(T7:T15)</f>
        <v>22900000</v>
      </c>
      <c r="U22" s="649">
        <f>SUM(U7:U21)</f>
        <v>5100000</v>
      </c>
      <c r="V22" s="649">
        <f>SUM(V7:V21)</f>
        <v>1760000</v>
      </c>
      <c r="W22" s="651">
        <f>SUM(W7:W21)</f>
        <v>1400000</v>
      </c>
      <c r="X22" s="651">
        <f>SUM(X7:X15)</f>
        <v>28000000</v>
      </c>
      <c r="Y22" s="650">
        <f>SUM(Y7:Y15)</f>
        <v>22900000</v>
      </c>
      <c r="Z22" s="649">
        <f>SUM(Z7:Z21)</f>
        <v>5250000</v>
      </c>
      <c r="AA22" s="649">
        <f>SUM(AA7:AA21)</f>
        <v>1520000</v>
      </c>
      <c r="AB22" s="647">
        <f>SUM(AB7:AB21)</f>
        <v>1600000</v>
      </c>
      <c r="AC22" s="648">
        <f>SUM(AC7:AC15)</f>
        <v>22900000</v>
      </c>
      <c r="AD22" s="649">
        <f>SUM(AD7:AD21)</f>
        <v>5350000</v>
      </c>
      <c r="AE22" s="649">
        <f>SUM(AE7:AE21)</f>
        <v>1480000</v>
      </c>
      <c r="AF22" s="651">
        <f>SUM(AF7:AF21)</f>
        <v>1400000</v>
      </c>
      <c r="AG22" s="650">
        <f>SUM(AG7:AG15)</f>
        <v>22900000</v>
      </c>
      <c r="AH22" s="649">
        <f>SUM(AH7:AH21)</f>
        <v>5359500</v>
      </c>
      <c r="AI22" s="649">
        <f>SUM(AI7:AI21)</f>
        <v>1880000</v>
      </c>
      <c r="AJ22" s="647">
        <f>SUM(AJ7:AJ21)</f>
        <v>1400000</v>
      </c>
      <c r="AK22" s="648">
        <f>SUM(AK7:AK15)</f>
        <v>19400000</v>
      </c>
      <c r="AL22" s="649">
        <f>SUM(AL7:AL21)</f>
        <v>5257000</v>
      </c>
      <c r="AM22" s="649">
        <f>SUM(AM7:AM21)</f>
        <v>1280000</v>
      </c>
      <c r="AN22" s="651">
        <f>SUM(AN7:AN21)</f>
        <v>1200000</v>
      </c>
      <c r="AO22" s="650">
        <f>SUM(AO7:AO15)</f>
        <v>19400000</v>
      </c>
      <c r="AP22" s="649">
        <f>SUM(AP7:AP21)</f>
        <v>5021500</v>
      </c>
      <c r="AQ22" s="649">
        <f>SUM(AQ7:AQ21)</f>
        <v>1640000</v>
      </c>
      <c r="AR22" s="647">
        <f>SUM(AR7:AR21)</f>
        <v>1000000</v>
      </c>
      <c r="AS22" s="648">
        <f>SUM(AS7:AS15)</f>
        <v>19400000</v>
      </c>
      <c r="AT22" s="649">
        <f>SUM(AT7:AT21)</f>
        <v>5257000</v>
      </c>
      <c r="AU22" s="649">
        <f>SUM(AU7:AU21)</f>
        <v>1240000</v>
      </c>
      <c r="AV22" s="651">
        <f>SUM(AV7:AV21)</f>
        <v>1000000</v>
      </c>
      <c r="AW22" s="650">
        <f>SUM(AW7:AW15)</f>
        <v>19380000</v>
      </c>
      <c r="AX22" s="649">
        <f>SUM(AX7:AX21)</f>
        <v>5400000</v>
      </c>
      <c r="AY22" s="649">
        <f>SUM(AY7:AY21)</f>
        <v>1280000</v>
      </c>
      <c r="AZ22" s="647">
        <f>SUM(AZ7:AZ21)</f>
        <v>1200000</v>
      </c>
      <c r="BA22" s="648">
        <f>SUM(BA7:BA15)</f>
        <v>19380000</v>
      </c>
      <c r="BB22" s="649">
        <f>SUM(BB7:BB21)</f>
        <v>5250000</v>
      </c>
      <c r="BC22" s="649">
        <f>SUM(BC7:BC21)</f>
        <v>1800000</v>
      </c>
      <c r="BD22" s="651">
        <f>SUM(BD7:BD21)</f>
        <v>1400000</v>
      </c>
      <c r="BE22" s="696">
        <f>SUM(BE7:BE21)</f>
        <v>0</v>
      </c>
      <c r="BF22" s="652">
        <f t="shared" ref="BF22:BN22" si="24">SUM(BF7:BF21)</f>
        <v>133388500</v>
      </c>
      <c r="BG22" s="652">
        <f t="shared" si="24"/>
        <v>6669425</v>
      </c>
      <c r="BH22" s="652">
        <f t="shared" si="24"/>
        <v>945000000</v>
      </c>
      <c r="BI22" s="652">
        <f t="shared" si="24"/>
        <v>0</v>
      </c>
      <c r="BJ22" s="652">
        <f t="shared" si="24"/>
        <v>0</v>
      </c>
      <c r="BK22" s="652">
        <f t="shared" si="24"/>
        <v>0</v>
      </c>
      <c r="BL22" s="652">
        <f t="shared" si="24"/>
        <v>0</v>
      </c>
      <c r="BM22" s="652">
        <f t="shared" si="24"/>
        <v>0</v>
      </c>
      <c r="BN22" s="652">
        <f t="shared" si="24"/>
        <v>133388500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79"/>
      <c r="H23" s="654">
        <f>SUM(H16:H21)</f>
        <v>12960000</v>
      </c>
      <c r="I23" s="188"/>
      <c r="J23" s="635"/>
      <c r="K23" s="636"/>
      <c r="L23" s="653">
        <f>SUM(L16:L21)</f>
        <v>11440000</v>
      </c>
      <c r="M23" s="188"/>
      <c r="N23" s="635"/>
      <c r="O23" s="637"/>
      <c r="P23" s="654">
        <f>SUM(P16:P21)</f>
        <v>13090000</v>
      </c>
      <c r="Q23" s="188"/>
      <c r="R23" s="635"/>
      <c r="S23" s="636"/>
      <c r="T23" s="653">
        <f>SUM(T16:T21)</f>
        <v>10320000</v>
      </c>
      <c r="U23" s="188"/>
      <c r="V23" s="635"/>
      <c r="W23" s="637"/>
      <c r="X23" s="691">
        <f>SUM(X16:X21)</f>
        <v>13200000</v>
      </c>
      <c r="Y23" s="654">
        <f>SUM(Y16:Y21)</f>
        <v>10560000</v>
      </c>
      <c r="Z23" s="188"/>
      <c r="AA23" s="635"/>
      <c r="AB23" s="636"/>
      <c r="AC23" s="653">
        <f>SUM(AC16:AC21)</f>
        <v>12100000</v>
      </c>
      <c r="AD23" s="188"/>
      <c r="AE23" s="635"/>
      <c r="AF23" s="637"/>
      <c r="AG23" s="654">
        <f>SUM(AG16:AG21)</f>
        <v>18480000</v>
      </c>
      <c r="AH23" s="188"/>
      <c r="AI23" s="635"/>
      <c r="AJ23" s="636"/>
      <c r="AK23" s="653">
        <f>SUM(AK16:AK21)</f>
        <v>11770000</v>
      </c>
      <c r="AL23" s="188"/>
      <c r="AM23" s="635"/>
      <c r="AN23" s="637"/>
      <c r="AO23" s="654">
        <f>SUM(AO16:AO21)</f>
        <v>12980000</v>
      </c>
      <c r="AP23" s="188"/>
      <c r="AQ23" s="635"/>
      <c r="AR23" s="636"/>
      <c r="AS23" s="653">
        <f>SUM(AS16:AS21)</f>
        <v>12190000</v>
      </c>
      <c r="AT23" s="188"/>
      <c r="AU23" s="635"/>
      <c r="AV23" s="637"/>
      <c r="AW23" s="654">
        <f>SUM(AW16:AW21)</f>
        <v>12080000</v>
      </c>
      <c r="AX23" s="188"/>
      <c r="AY23" s="635"/>
      <c r="AZ23" s="636"/>
      <c r="BA23" s="653">
        <f>SUM(BA16:BA21)</f>
        <v>19470000</v>
      </c>
      <c r="BB23" s="188"/>
      <c r="BC23" s="635"/>
      <c r="BD23" s="637"/>
      <c r="BE23" s="697"/>
      <c r="BF23" s="655"/>
      <c r="BG23" s="655"/>
      <c r="BH23" s="655"/>
      <c r="BI23" s="655"/>
      <c r="BJ23" s="655"/>
      <c r="BK23" s="655"/>
      <c r="BL23" s="655"/>
      <c r="BM23" s="655"/>
      <c r="BN23" s="655"/>
    </row>
    <row r="24" spans="1:66" customFormat="1" ht="15" x14ac:dyDescent="0.25">
      <c r="A24" s="656"/>
      <c r="B24" s="657"/>
      <c r="C24" s="658"/>
      <c r="D24" s="659"/>
      <c r="E24" s="657"/>
      <c r="F24" s="658"/>
      <c r="G24" s="680"/>
      <c r="H24" s="663">
        <f t="shared" ref="H24:AM24" si="25">H22+H23</f>
        <v>35850000</v>
      </c>
      <c r="I24" s="661">
        <f t="shared" si="25"/>
        <v>5000000</v>
      </c>
      <c r="J24" s="661">
        <f t="shared" si="25"/>
        <v>1400000</v>
      </c>
      <c r="K24" s="662">
        <f t="shared" si="25"/>
        <v>1000000</v>
      </c>
      <c r="L24" s="660">
        <f t="shared" si="25"/>
        <v>34340000</v>
      </c>
      <c r="M24" s="661">
        <f t="shared" si="25"/>
        <v>5180500</v>
      </c>
      <c r="N24" s="661">
        <f t="shared" si="25"/>
        <v>1280000</v>
      </c>
      <c r="O24" s="664">
        <f t="shared" si="25"/>
        <v>800000</v>
      </c>
      <c r="P24" s="663">
        <f t="shared" si="25"/>
        <v>35990000</v>
      </c>
      <c r="Q24" s="661">
        <f t="shared" si="25"/>
        <v>5308500</v>
      </c>
      <c r="R24" s="661">
        <f t="shared" si="25"/>
        <v>1440000</v>
      </c>
      <c r="S24" s="662">
        <f t="shared" si="25"/>
        <v>1400000</v>
      </c>
      <c r="T24" s="660">
        <f t="shared" si="25"/>
        <v>33220000</v>
      </c>
      <c r="U24" s="661">
        <f t="shared" si="25"/>
        <v>5100000</v>
      </c>
      <c r="V24" s="661">
        <f t="shared" si="25"/>
        <v>1760000</v>
      </c>
      <c r="W24" s="664">
        <f t="shared" si="25"/>
        <v>1400000</v>
      </c>
      <c r="X24" s="664">
        <f t="shared" si="25"/>
        <v>41200000</v>
      </c>
      <c r="Y24" s="663">
        <f t="shared" si="25"/>
        <v>33460000</v>
      </c>
      <c r="Z24" s="661">
        <f t="shared" si="25"/>
        <v>5250000</v>
      </c>
      <c r="AA24" s="661">
        <f t="shared" si="25"/>
        <v>1520000</v>
      </c>
      <c r="AB24" s="662">
        <f t="shared" si="25"/>
        <v>1600000</v>
      </c>
      <c r="AC24" s="660">
        <f t="shared" si="25"/>
        <v>35000000</v>
      </c>
      <c r="AD24" s="661">
        <f t="shared" si="25"/>
        <v>5350000</v>
      </c>
      <c r="AE24" s="661">
        <f t="shared" si="25"/>
        <v>1480000</v>
      </c>
      <c r="AF24" s="664">
        <f t="shared" si="25"/>
        <v>1400000</v>
      </c>
      <c r="AG24" s="663">
        <f t="shared" si="25"/>
        <v>41380000</v>
      </c>
      <c r="AH24" s="661">
        <f t="shared" si="25"/>
        <v>5359500</v>
      </c>
      <c r="AI24" s="661">
        <f t="shared" si="25"/>
        <v>1880000</v>
      </c>
      <c r="AJ24" s="662">
        <f t="shared" si="25"/>
        <v>1400000</v>
      </c>
      <c r="AK24" s="660">
        <f t="shared" si="25"/>
        <v>31170000</v>
      </c>
      <c r="AL24" s="661">
        <f t="shared" si="25"/>
        <v>5257000</v>
      </c>
      <c r="AM24" s="661">
        <f t="shared" si="25"/>
        <v>1280000</v>
      </c>
      <c r="AN24" s="664">
        <f t="shared" ref="AN24:BD24" si="26">AN22+AN23</f>
        <v>1200000</v>
      </c>
      <c r="AO24" s="663">
        <f t="shared" si="26"/>
        <v>32380000</v>
      </c>
      <c r="AP24" s="661">
        <f t="shared" si="26"/>
        <v>5021500</v>
      </c>
      <c r="AQ24" s="661">
        <f t="shared" si="26"/>
        <v>1640000</v>
      </c>
      <c r="AR24" s="662">
        <f t="shared" si="26"/>
        <v>1000000</v>
      </c>
      <c r="AS24" s="660">
        <f t="shared" si="26"/>
        <v>31590000</v>
      </c>
      <c r="AT24" s="661">
        <f t="shared" si="26"/>
        <v>5257000</v>
      </c>
      <c r="AU24" s="661">
        <f t="shared" si="26"/>
        <v>1240000</v>
      </c>
      <c r="AV24" s="664">
        <f t="shared" si="26"/>
        <v>1000000</v>
      </c>
      <c r="AW24" s="663">
        <f t="shared" si="26"/>
        <v>31460000</v>
      </c>
      <c r="AX24" s="661">
        <f t="shared" si="26"/>
        <v>5400000</v>
      </c>
      <c r="AY24" s="661">
        <f t="shared" si="26"/>
        <v>1280000</v>
      </c>
      <c r="AZ24" s="661">
        <f t="shared" si="26"/>
        <v>1200000</v>
      </c>
      <c r="BA24" s="660">
        <f t="shared" si="26"/>
        <v>38850000</v>
      </c>
      <c r="BB24" s="661">
        <f t="shared" si="26"/>
        <v>5250000</v>
      </c>
      <c r="BC24" s="661">
        <f t="shared" si="26"/>
        <v>1800000</v>
      </c>
      <c r="BD24" s="664">
        <f t="shared" si="26"/>
        <v>1400000</v>
      </c>
      <c r="BE24" s="698">
        <f>BE22</f>
        <v>0</v>
      </c>
      <c r="BF24" s="665">
        <f t="shared" ref="BF24:BN24" si="27">BF22</f>
        <v>133388500</v>
      </c>
      <c r="BG24" s="665">
        <f t="shared" si="27"/>
        <v>6669425</v>
      </c>
      <c r="BH24" s="665">
        <f t="shared" si="27"/>
        <v>945000000</v>
      </c>
      <c r="BI24" s="665">
        <f t="shared" si="27"/>
        <v>0</v>
      </c>
      <c r="BJ24" s="665">
        <f t="shared" si="27"/>
        <v>0</v>
      </c>
      <c r="BK24" s="665">
        <f t="shared" si="27"/>
        <v>0</v>
      </c>
      <c r="BL24" s="665">
        <f t="shared" si="27"/>
        <v>0</v>
      </c>
      <c r="BM24" s="665">
        <f t="shared" si="27"/>
        <v>0</v>
      </c>
      <c r="BN24" s="665">
        <f t="shared" si="27"/>
        <v>133388500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4"/>
      <c r="H25" s="915">
        <f>SUM(H24:K24)</f>
        <v>43250000</v>
      </c>
      <c r="I25" s="914"/>
      <c r="J25" s="914"/>
      <c r="K25" s="916"/>
      <c r="L25" s="914">
        <f>SUM(L24:O24)</f>
        <v>41600500</v>
      </c>
      <c r="M25" s="914"/>
      <c r="N25" s="914"/>
      <c r="O25" s="914"/>
      <c r="P25" s="915">
        <f>SUM(P24:S24)</f>
        <v>44138500</v>
      </c>
      <c r="Q25" s="914"/>
      <c r="R25" s="914"/>
      <c r="S25" s="916"/>
      <c r="T25" s="914">
        <f>SUM(T24:W24)</f>
        <v>41480000</v>
      </c>
      <c r="U25" s="914"/>
      <c r="V25" s="914"/>
      <c r="W25" s="914"/>
      <c r="X25" s="692"/>
      <c r="Y25" s="915">
        <f>SUM(Y24:AB24)</f>
        <v>41830000</v>
      </c>
      <c r="Z25" s="914"/>
      <c r="AA25" s="914"/>
      <c r="AB25" s="916"/>
      <c r="AC25" s="914">
        <f>SUM(AC24:AF24)</f>
        <v>43230000</v>
      </c>
      <c r="AD25" s="914"/>
      <c r="AE25" s="914"/>
      <c r="AF25" s="914"/>
      <c r="AG25" s="915">
        <f>SUM(AG24:AJ24)</f>
        <v>50019500</v>
      </c>
      <c r="AH25" s="914"/>
      <c r="AI25" s="914"/>
      <c r="AJ25" s="916"/>
      <c r="AK25" s="914">
        <f>SUM(AK24:AN24)</f>
        <v>38907000</v>
      </c>
      <c r="AL25" s="914"/>
      <c r="AM25" s="914"/>
      <c r="AN25" s="914"/>
      <c r="AO25" s="915">
        <f>SUM(AO24:AR24)</f>
        <v>40041500</v>
      </c>
      <c r="AP25" s="914"/>
      <c r="AQ25" s="914"/>
      <c r="AR25" s="916"/>
      <c r="AS25" s="914">
        <f>SUM(AS24:AV24)</f>
        <v>39087000</v>
      </c>
      <c r="AT25" s="914"/>
      <c r="AU25" s="914"/>
      <c r="AV25" s="914"/>
      <c r="AW25" s="915">
        <f>SUM(AW24:AZ24)</f>
        <v>39340000</v>
      </c>
      <c r="AX25" s="914"/>
      <c r="AY25" s="914"/>
      <c r="AZ25" s="916"/>
      <c r="BA25" s="914">
        <f>SUM(BA24:BD24)</f>
        <v>47300000</v>
      </c>
      <c r="BB25" s="914"/>
      <c r="BC25" s="914"/>
      <c r="BD25" s="914"/>
      <c r="BE25" s="699"/>
      <c r="BF25" s="666"/>
      <c r="BG25" s="666"/>
      <c r="BH25" s="666"/>
      <c r="BI25" s="666"/>
      <c r="BJ25" s="666"/>
      <c r="BK25" s="666"/>
      <c r="BL25" s="666"/>
      <c r="BM25" s="666"/>
      <c r="BN25" s="666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4"/>
      <c r="AJ26" s="184"/>
      <c r="AK26" s="324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J27" s="182"/>
      <c r="AK27" s="183"/>
      <c r="AS27" s="803"/>
      <c r="BC27" s="182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  <c r="AS28" s="181"/>
    </row>
    <row r="29" spans="1:66" x14ac:dyDescent="0.25">
      <c r="A29" s="241" t="s">
        <v>262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263</v>
      </c>
      <c r="AK30" s="183"/>
    </row>
    <row r="31" spans="1:66" x14ac:dyDescent="0.25">
      <c r="A31" s="242" t="s">
        <v>163</v>
      </c>
      <c r="B31" s="174" t="s">
        <v>264</v>
      </c>
      <c r="AK31" s="183"/>
    </row>
    <row r="32" spans="1:66" x14ac:dyDescent="0.25">
      <c r="A32" s="242" t="s">
        <v>164</v>
      </c>
      <c r="B32" s="174" t="s">
        <v>265</v>
      </c>
      <c r="AK32" s="183"/>
    </row>
    <row r="33" spans="1:37" x14ac:dyDescent="0.25">
      <c r="A33" s="242" t="s">
        <v>165</v>
      </c>
      <c r="B33" s="174" t="s">
        <v>266</v>
      </c>
      <c r="AK33" s="183"/>
    </row>
    <row r="34" spans="1:37" x14ac:dyDescent="0.25">
      <c r="A34" s="242" t="s">
        <v>166</v>
      </c>
      <c r="B34" s="174" t="s">
        <v>267</v>
      </c>
      <c r="AK34" s="183"/>
    </row>
    <row r="35" spans="1:37" x14ac:dyDescent="0.25">
      <c r="A35" s="242" t="s">
        <v>268</v>
      </c>
      <c r="B35" s="174" t="s">
        <v>269</v>
      </c>
      <c r="AK35" s="183"/>
    </row>
    <row r="36" spans="1:37" x14ac:dyDescent="0.25">
      <c r="A36" s="242" t="s">
        <v>270</v>
      </c>
      <c r="B36" s="174" t="s">
        <v>271</v>
      </c>
      <c r="AK36" s="183"/>
    </row>
    <row r="37" spans="1:37" x14ac:dyDescent="0.25">
      <c r="A37" s="242" t="s">
        <v>272</v>
      </c>
      <c r="B37" s="174" t="s">
        <v>273</v>
      </c>
      <c r="AK37" s="183"/>
    </row>
    <row r="38" spans="1:37" x14ac:dyDescent="0.25">
      <c r="A38" s="242" t="s">
        <v>274</v>
      </c>
      <c r="B38" s="174" t="s">
        <v>275</v>
      </c>
      <c r="AK38" s="183"/>
    </row>
    <row r="39" spans="1:37" x14ac:dyDescent="0.25">
      <c r="A39" s="242" t="s">
        <v>276</v>
      </c>
      <c r="B39" s="174" t="s">
        <v>277</v>
      </c>
      <c r="AK39" s="183"/>
    </row>
    <row r="40" spans="1:37" x14ac:dyDescent="0.25">
      <c r="A40" s="242" t="s">
        <v>278</v>
      </c>
      <c r="B40" s="174" t="s">
        <v>279</v>
      </c>
      <c r="AK40" s="183"/>
    </row>
    <row r="41" spans="1:37" x14ac:dyDescent="0.25">
      <c r="A41" s="242" t="s">
        <v>280</v>
      </c>
      <c r="B41" s="174" t="s">
        <v>281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H3:K3"/>
    <mergeCell ref="F3:F5"/>
    <mergeCell ref="G3:G5"/>
    <mergeCell ref="A3:A5"/>
    <mergeCell ref="B3:B5"/>
    <mergeCell ref="C3:C5"/>
    <mergeCell ref="D3:D5"/>
    <mergeCell ref="E3:E5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AG3:AJ3"/>
    <mergeCell ref="AK3:AN3"/>
    <mergeCell ref="AO3:AR3"/>
    <mergeCell ref="AS3:AV3"/>
    <mergeCell ref="AW3:AZ3"/>
    <mergeCell ref="BA3:BD3"/>
    <mergeCell ref="BE3:BE5"/>
    <mergeCell ref="BF3:BF5"/>
    <mergeCell ref="BG3:BG5"/>
    <mergeCell ref="BH3:BH5"/>
    <mergeCell ref="BI3:BI5"/>
    <mergeCell ref="BJ3:BJ5"/>
    <mergeCell ref="BK3:BK5"/>
    <mergeCell ref="BL3:BL5"/>
    <mergeCell ref="BM3:BM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AK4:AK5"/>
    <mergeCell ref="AL4:AL5"/>
    <mergeCell ref="AM4:AN4"/>
    <mergeCell ref="AO4:AO5"/>
    <mergeCell ref="AP4:AP5"/>
    <mergeCell ref="AQ4:AR4"/>
    <mergeCell ref="AS4:AS5"/>
    <mergeCell ref="AT4:AT5"/>
    <mergeCell ref="AU4:AV4"/>
    <mergeCell ref="AW4:AW5"/>
    <mergeCell ref="AX4:AX5"/>
    <mergeCell ref="AY4:AZ4"/>
    <mergeCell ref="BA4:BA5"/>
    <mergeCell ref="BB4:BB5"/>
    <mergeCell ref="BC4:BD4"/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13"/>
  <sheetViews>
    <sheetView zoomScaleNormal="100" workbookViewId="0">
      <pane xSplit="2" ySplit="4" topLeftCell="C571" activePane="bottomRight" state="frozen"/>
      <selection pane="topRight" activeCell="C1" sqref="C1"/>
      <selection pane="bottomLeft" activeCell="A5" sqref="A5"/>
      <selection pane="bottomRight" activeCell="P606" sqref="P606"/>
    </sheetView>
  </sheetViews>
  <sheetFormatPr defaultRowHeight="14.25" x14ac:dyDescent="0.25"/>
  <cols>
    <col min="1" max="1" width="7.7109375" style="601" customWidth="1"/>
    <col min="2" max="2" width="35.42578125" style="602" bestFit="1" customWidth="1"/>
    <col min="3" max="13" width="12.7109375" style="603" customWidth="1"/>
    <col min="14" max="14" width="12.7109375" style="604" customWidth="1"/>
    <col min="15" max="18" width="12.7109375" style="603" customWidth="1"/>
    <col min="19" max="258" width="9.140625" style="554"/>
    <col min="259" max="259" width="31.85546875" style="554" customWidth="1"/>
    <col min="260" max="260" width="18" style="554" customWidth="1"/>
    <col min="261" max="261" width="15" style="554" customWidth="1"/>
    <col min="262" max="262" width="12.140625" style="554" customWidth="1"/>
    <col min="263" max="263" width="10.7109375" style="554" customWidth="1"/>
    <col min="264" max="264" width="9.140625" style="554"/>
    <col min="265" max="265" width="13.7109375" style="554" customWidth="1"/>
    <col min="266" max="266" width="13.5703125" style="554" customWidth="1"/>
    <col min="267" max="267" width="12.28515625" style="554" customWidth="1"/>
    <col min="268" max="268" width="13" style="554" customWidth="1"/>
    <col min="269" max="514" width="9.140625" style="554"/>
    <col min="515" max="515" width="31.85546875" style="554" customWidth="1"/>
    <col min="516" max="516" width="18" style="554" customWidth="1"/>
    <col min="517" max="517" width="15" style="554" customWidth="1"/>
    <col min="518" max="518" width="12.140625" style="554" customWidth="1"/>
    <col min="519" max="519" width="10.7109375" style="554" customWidth="1"/>
    <col min="520" max="520" width="9.140625" style="554"/>
    <col min="521" max="521" width="13.7109375" style="554" customWidth="1"/>
    <col min="522" max="522" width="13.5703125" style="554" customWidth="1"/>
    <col min="523" max="523" width="12.28515625" style="554" customWidth="1"/>
    <col min="524" max="524" width="13" style="554" customWidth="1"/>
    <col min="525" max="770" width="9.140625" style="554"/>
    <col min="771" max="771" width="31.85546875" style="554" customWidth="1"/>
    <col min="772" max="772" width="18" style="554" customWidth="1"/>
    <col min="773" max="773" width="15" style="554" customWidth="1"/>
    <col min="774" max="774" width="12.140625" style="554" customWidth="1"/>
    <col min="775" max="775" width="10.7109375" style="554" customWidth="1"/>
    <col min="776" max="776" width="9.140625" style="554"/>
    <col min="777" max="777" width="13.7109375" style="554" customWidth="1"/>
    <col min="778" max="778" width="13.5703125" style="554" customWidth="1"/>
    <col min="779" max="779" width="12.28515625" style="554" customWidth="1"/>
    <col min="780" max="780" width="13" style="554" customWidth="1"/>
    <col min="781" max="1026" width="9.140625" style="554"/>
    <col min="1027" max="1027" width="31.85546875" style="554" customWidth="1"/>
    <col min="1028" max="1028" width="18" style="554" customWidth="1"/>
    <col min="1029" max="1029" width="15" style="554" customWidth="1"/>
    <col min="1030" max="1030" width="12.140625" style="554" customWidth="1"/>
    <col min="1031" max="1031" width="10.7109375" style="554" customWidth="1"/>
    <col min="1032" max="1032" width="9.140625" style="554"/>
    <col min="1033" max="1033" width="13.7109375" style="554" customWidth="1"/>
    <col min="1034" max="1034" width="13.5703125" style="554" customWidth="1"/>
    <col min="1035" max="1035" width="12.28515625" style="554" customWidth="1"/>
    <col min="1036" max="1036" width="13" style="554" customWidth="1"/>
    <col min="1037" max="1282" width="9.140625" style="554"/>
    <col min="1283" max="1283" width="31.85546875" style="554" customWidth="1"/>
    <col min="1284" max="1284" width="18" style="554" customWidth="1"/>
    <col min="1285" max="1285" width="15" style="554" customWidth="1"/>
    <col min="1286" max="1286" width="12.140625" style="554" customWidth="1"/>
    <col min="1287" max="1287" width="10.7109375" style="554" customWidth="1"/>
    <col min="1288" max="1288" width="9.140625" style="554"/>
    <col min="1289" max="1289" width="13.7109375" style="554" customWidth="1"/>
    <col min="1290" max="1290" width="13.5703125" style="554" customWidth="1"/>
    <col min="1291" max="1291" width="12.28515625" style="554" customWidth="1"/>
    <col min="1292" max="1292" width="13" style="554" customWidth="1"/>
    <col min="1293" max="1538" width="9.140625" style="554"/>
    <col min="1539" max="1539" width="31.85546875" style="554" customWidth="1"/>
    <col min="1540" max="1540" width="18" style="554" customWidth="1"/>
    <col min="1541" max="1541" width="15" style="554" customWidth="1"/>
    <col min="1542" max="1542" width="12.140625" style="554" customWidth="1"/>
    <col min="1543" max="1543" width="10.7109375" style="554" customWidth="1"/>
    <col min="1544" max="1544" width="9.140625" style="554"/>
    <col min="1545" max="1545" width="13.7109375" style="554" customWidth="1"/>
    <col min="1546" max="1546" width="13.5703125" style="554" customWidth="1"/>
    <col min="1547" max="1547" width="12.28515625" style="554" customWidth="1"/>
    <col min="1548" max="1548" width="13" style="554" customWidth="1"/>
    <col min="1549" max="1794" width="9.140625" style="554"/>
    <col min="1795" max="1795" width="31.85546875" style="554" customWidth="1"/>
    <col min="1796" max="1796" width="18" style="554" customWidth="1"/>
    <col min="1797" max="1797" width="15" style="554" customWidth="1"/>
    <col min="1798" max="1798" width="12.140625" style="554" customWidth="1"/>
    <col min="1799" max="1799" width="10.7109375" style="554" customWidth="1"/>
    <col min="1800" max="1800" width="9.140625" style="554"/>
    <col min="1801" max="1801" width="13.7109375" style="554" customWidth="1"/>
    <col min="1802" max="1802" width="13.5703125" style="554" customWidth="1"/>
    <col min="1803" max="1803" width="12.28515625" style="554" customWidth="1"/>
    <col min="1804" max="1804" width="13" style="554" customWidth="1"/>
    <col min="1805" max="2050" width="9.140625" style="554"/>
    <col min="2051" max="2051" width="31.85546875" style="554" customWidth="1"/>
    <col min="2052" max="2052" width="18" style="554" customWidth="1"/>
    <col min="2053" max="2053" width="15" style="554" customWidth="1"/>
    <col min="2054" max="2054" width="12.140625" style="554" customWidth="1"/>
    <col min="2055" max="2055" width="10.7109375" style="554" customWidth="1"/>
    <col min="2056" max="2056" width="9.140625" style="554"/>
    <col min="2057" max="2057" width="13.7109375" style="554" customWidth="1"/>
    <col min="2058" max="2058" width="13.5703125" style="554" customWidth="1"/>
    <col min="2059" max="2059" width="12.28515625" style="554" customWidth="1"/>
    <col min="2060" max="2060" width="13" style="554" customWidth="1"/>
    <col min="2061" max="2306" width="9.140625" style="554"/>
    <col min="2307" max="2307" width="31.85546875" style="554" customWidth="1"/>
    <col min="2308" max="2308" width="18" style="554" customWidth="1"/>
    <col min="2309" max="2309" width="15" style="554" customWidth="1"/>
    <col min="2310" max="2310" width="12.140625" style="554" customWidth="1"/>
    <col min="2311" max="2311" width="10.7109375" style="554" customWidth="1"/>
    <col min="2312" max="2312" width="9.140625" style="554"/>
    <col min="2313" max="2313" width="13.7109375" style="554" customWidth="1"/>
    <col min="2314" max="2314" width="13.5703125" style="554" customWidth="1"/>
    <col min="2315" max="2315" width="12.28515625" style="554" customWidth="1"/>
    <col min="2316" max="2316" width="13" style="554" customWidth="1"/>
    <col min="2317" max="2562" width="9.140625" style="554"/>
    <col min="2563" max="2563" width="31.85546875" style="554" customWidth="1"/>
    <col min="2564" max="2564" width="18" style="554" customWidth="1"/>
    <col min="2565" max="2565" width="15" style="554" customWidth="1"/>
    <col min="2566" max="2566" width="12.140625" style="554" customWidth="1"/>
    <col min="2567" max="2567" width="10.7109375" style="554" customWidth="1"/>
    <col min="2568" max="2568" width="9.140625" style="554"/>
    <col min="2569" max="2569" width="13.7109375" style="554" customWidth="1"/>
    <col min="2570" max="2570" width="13.5703125" style="554" customWidth="1"/>
    <col min="2571" max="2571" width="12.28515625" style="554" customWidth="1"/>
    <col min="2572" max="2572" width="13" style="554" customWidth="1"/>
    <col min="2573" max="2818" width="9.140625" style="554"/>
    <col min="2819" max="2819" width="31.85546875" style="554" customWidth="1"/>
    <col min="2820" max="2820" width="18" style="554" customWidth="1"/>
    <col min="2821" max="2821" width="15" style="554" customWidth="1"/>
    <col min="2822" max="2822" width="12.140625" style="554" customWidth="1"/>
    <col min="2823" max="2823" width="10.7109375" style="554" customWidth="1"/>
    <col min="2824" max="2824" width="9.140625" style="554"/>
    <col min="2825" max="2825" width="13.7109375" style="554" customWidth="1"/>
    <col min="2826" max="2826" width="13.5703125" style="554" customWidth="1"/>
    <col min="2827" max="2827" width="12.28515625" style="554" customWidth="1"/>
    <col min="2828" max="2828" width="13" style="554" customWidth="1"/>
    <col min="2829" max="3074" width="9.140625" style="554"/>
    <col min="3075" max="3075" width="31.85546875" style="554" customWidth="1"/>
    <col min="3076" max="3076" width="18" style="554" customWidth="1"/>
    <col min="3077" max="3077" width="15" style="554" customWidth="1"/>
    <col min="3078" max="3078" width="12.140625" style="554" customWidth="1"/>
    <col min="3079" max="3079" width="10.7109375" style="554" customWidth="1"/>
    <col min="3080" max="3080" width="9.140625" style="554"/>
    <col min="3081" max="3081" width="13.7109375" style="554" customWidth="1"/>
    <col min="3082" max="3082" width="13.5703125" style="554" customWidth="1"/>
    <col min="3083" max="3083" width="12.28515625" style="554" customWidth="1"/>
    <col min="3084" max="3084" width="13" style="554" customWidth="1"/>
    <col min="3085" max="3330" width="9.140625" style="554"/>
    <col min="3331" max="3331" width="31.85546875" style="554" customWidth="1"/>
    <col min="3332" max="3332" width="18" style="554" customWidth="1"/>
    <col min="3333" max="3333" width="15" style="554" customWidth="1"/>
    <col min="3334" max="3334" width="12.140625" style="554" customWidth="1"/>
    <col min="3335" max="3335" width="10.7109375" style="554" customWidth="1"/>
    <col min="3336" max="3336" width="9.140625" style="554"/>
    <col min="3337" max="3337" width="13.7109375" style="554" customWidth="1"/>
    <col min="3338" max="3338" width="13.5703125" style="554" customWidth="1"/>
    <col min="3339" max="3339" width="12.28515625" style="554" customWidth="1"/>
    <col min="3340" max="3340" width="13" style="554" customWidth="1"/>
    <col min="3341" max="3586" width="9.140625" style="554"/>
    <col min="3587" max="3587" width="31.85546875" style="554" customWidth="1"/>
    <col min="3588" max="3588" width="18" style="554" customWidth="1"/>
    <col min="3589" max="3589" width="15" style="554" customWidth="1"/>
    <col min="3590" max="3590" width="12.140625" style="554" customWidth="1"/>
    <col min="3591" max="3591" width="10.7109375" style="554" customWidth="1"/>
    <col min="3592" max="3592" width="9.140625" style="554"/>
    <col min="3593" max="3593" width="13.7109375" style="554" customWidth="1"/>
    <col min="3594" max="3594" width="13.5703125" style="554" customWidth="1"/>
    <col min="3595" max="3595" width="12.28515625" style="554" customWidth="1"/>
    <col min="3596" max="3596" width="13" style="554" customWidth="1"/>
    <col min="3597" max="3842" width="9.140625" style="554"/>
    <col min="3843" max="3843" width="31.85546875" style="554" customWidth="1"/>
    <col min="3844" max="3844" width="18" style="554" customWidth="1"/>
    <col min="3845" max="3845" width="15" style="554" customWidth="1"/>
    <col min="3846" max="3846" width="12.140625" style="554" customWidth="1"/>
    <col min="3847" max="3847" width="10.7109375" style="554" customWidth="1"/>
    <col min="3848" max="3848" width="9.140625" style="554"/>
    <col min="3849" max="3849" width="13.7109375" style="554" customWidth="1"/>
    <col min="3850" max="3850" width="13.5703125" style="554" customWidth="1"/>
    <col min="3851" max="3851" width="12.28515625" style="554" customWidth="1"/>
    <col min="3852" max="3852" width="13" style="554" customWidth="1"/>
    <col min="3853" max="4098" width="9.140625" style="554"/>
    <col min="4099" max="4099" width="31.85546875" style="554" customWidth="1"/>
    <col min="4100" max="4100" width="18" style="554" customWidth="1"/>
    <col min="4101" max="4101" width="15" style="554" customWidth="1"/>
    <col min="4102" max="4102" width="12.140625" style="554" customWidth="1"/>
    <col min="4103" max="4103" width="10.7109375" style="554" customWidth="1"/>
    <col min="4104" max="4104" width="9.140625" style="554"/>
    <col min="4105" max="4105" width="13.7109375" style="554" customWidth="1"/>
    <col min="4106" max="4106" width="13.5703125" style="554" customWidth="1"/>
    <col min="4107" max="4107" width="12.28515625" style="554" customWidth="1"/>
    <col min="4108" max="4108" width="13" style="554" customWidth="1"/>
    <col min="4109" max="4354" width="9.140625" style="554"/>
    <col min="4355" max="4355" width="31.85546875" style="554" customWidth="1"/>
    <col min="4356" max="4356" width="18" style="554" customWidth="1"/>
    <col min="4357" max="4357" width="15" style="554" customWidth="1"/>
    <col min="4358" max="4358" width="12.140625" style="554" customWidth="1"/>
    <col min="4359" max="4359" width="10.7109375" style="554" customWidth="1"/>
    <col min="4360" max="4360" width="9.140625" style="554"/>
    <col min="4361" max="4361" width="13.7109375" style="554" customWidth="1"/>
    <col min="4362" max="4362" width="13.5703125" style="554" customWidth="1"/>
    <col min="4363" max="4363" width="12.28515625" style="554" customWidth="1"/>
    <col min="4364" max="4364" width="13" style="554" customWidth="1"/>
    <col min="4365" max="4610" width="9.140625" style="554"/>
    <col min="4611" max="4611" width="31.85546875" style="554" customWidth="1"/>
    <col min="4612" max="4612" width="18" style="554" customWidth="1"/>
    <col min="4613" max="4613" width="15" style="554" customWidth="1"/>
    <col min="4614" max="4614" width="12.140625" style="554" customWidth="1"/>
    <col min="4615" max="4615" width="10.7109375" style="554" customWidth="1"/>
    <col min="4616" max="4616" width="9.140625" style="554"/>
    <col min="4617" max="4617" width="13.7109375" style="554" customWidth="1"/>
    <col min="4618" max="4618" width="13.5703125" style="554" customWidth="1"/>
    <col min="4619" max="4619" width="12.28515625" style="554" customWidth="1"/>
    <col min="4620" max="4620" width="13" style="554" customWidth="1"/>
    <col min="4621" max="4866" width="9.140625" style="554"/>
    <col min="4867" max="4867" width="31.85546875" style="554" customWidth="1"/>
    <col min="4868" max="4868" width="18" style="554" customWidth="1"/>
    <col min="4869" max="4869" width="15" style="554" customWidth="1"/>
    <col min="4870" max="4870" width="12.140625" style="554" customWidth="1"/>
    <col min="4871" max="4871" width="10.7109375" style="554" customWidth="1"/>
    <col min="4872" max="4872" width="9.140625" style="554"/>
    <col min="4873" max="4873" width="13.7109375" style="554" customWidth="1"/>
    <col min="4874" max="4874" width="13.5703125" style="554" customWidth="1"/>
    <col min="4875" max="4875" width="12.28515625" style="554" customWidth="1"/>
    <col min="4876" max="4876" width="13" style="554" customWidth="1"/>
    <col min="4877" max="5122" width="9.140625" style="554"/>
    <col min="5123" max="5123" width="31.85546875" style="554" customWidth="1"/>
    <col min="5124" max="5124" width="18" style="554" customWidth="1"/>
    <col min="5125" max="5125" width="15" style="554" customWidth="1"/>
    <col min="5126" max="5126" width="12.140625" style="554" customWidth="1"/>
    <col min="5127" max="5127" width="10.7109375" style="554" customWidth="1"/>
    <col min="5128" max="5128" width="9.140625" style="554"/>
    <col min="5129" max="5129" width="13.7109375" style="554" customWidth="1"/>
    <col min="5130" max="5130" width="13.5703125" style="554" customWidth="1"/>
    <col min="5131" max="5131" width="12.28515625" style="554" customWidth="1"/>
    <col min="5132" max="5132" width="13" style="554" customWidth="1"/>
    <col min="5133" max="5378" width="9.140625" style="554"/>
    <col min="5379" max="5379" width="31.85546875" style="554" customWidth="1"/>
    <col min="5380" max="5380" width="18" style="554" customWidth="1"/>
    <col min="5381" max="5381" width="15" style="554" customWidth="1"/>
    <col min="5382" max="5382" width="12.140625" style="554" customWidth="1"/>
    <col min="5383" max="5383" width="10.7109375" style="554" customWidth="1"/>
    <col min="5384" max="5384" width="9.140625" style="554"/>
    <col min="5385" max="5385" width="13.7109375" style="554" customWidth="1"/>
    <col min="5386" max="5386" width="13.5703125" style="554" customWidth="1"/>
    <col min="5387" max="5387" width="12.28515625" style="554" customWidth="1"/>
    <col min="5388" max="5388" width="13" style="554" customWidth="1"/>
    <col min="5389" max="5634" width="9.140625" style="554"/>
    <col min="5635" max="5635" width="31.85546875" style="554" customWidth="1"/>
    <col min="5636" max="5636" width="18" style="554" customWidth="1"/>
    <col min="5637" max="5637" width="15" style="554" customWidth="1"/>
    <col min="5638" max="5638" width="12.140625" style="554" customWidth="1"/>
    <col min="5639" max="5639" width="10.7109375" style="554" customWidth="1"/>
    <col min="5640" max="5640" width="9.140625" style="554"/>
    <col min="5641" max="5641" width="13.7109375" style="554" customWidth="1"/>
    <col min="5642" max="5642" width="13.5703125" style="554" customWidth="1"/>
    <col min="5643" max="5643" width="12.28515625" style="554" customWidth="1"/>
    <col min="5644" max="5644" width="13" style="554" customWidth="1"/>
    <col min="5645" max="5890" width="9.140625" style="554"/>
    <col min="5891" max="5891" width="31.85546875" style="554" customWidth="1"/>
    <col min="5892" max="5892" width="18" style="554" customWidth="1"/>
    <col min="5893" max="5893" width="15" style="554" customWidth="1"/>
    <col min="5894" max="5894" width="12.140625" style="554" customWidth="1"/>
    <col min="5895" max="5895" width="10.7109375" style="554" customWidth="1"/>
    <col min="5896" max="5896" width="9.140625" style="554"/>
    <col min="5897" max="5897" width="13.7109375" style="554" customWidth="1"/>
    <col min="5898" max="5898" width="13.5703125" style="554" customWidth="1"/>
    <col min="5899" max="5899" width="12.28515625" style="554" customWidth="1"/>
    <col min="5900" max="5900" width="13" style="554" customWidth="1"/>
    <col min="5901" max="6146" width="9.140625" style="554"/>
    <col min="6147" max="6147" width="31.85546875" style="554" customWidth="1"/>
    <col min="6148" max="6148" width="18" style="554" customWidth="1"/>
    <col min="6149" max="6149" width="15" style="554" customWidth="1"/>
    <col min="6150" max="6150" width="12.140625" style="554" customWidth="1"/>
    <col min="6151" max="6151" width="10.7109375" style="554" customWidth="1"/>
    <col min="6152" max="6152" width="9.140625" style="554"/>
    <col min="6153" max="6153" width="13.7109375" style="554" customWidth="1"/>
    <col min="6154" max="6154" width="13.5703125" style="554" customWidth="1"/>
    <col min="6155" max="6155" width="12.28515625" style="554" customWidth="1"/>
    <col min="6156" max="6156" width="13" style="554" customWidth="1"/>
    <col min="6157" max="6402" width="9.140625" style="554"/>
    <col min="6403" max="6403" width="31.85546875" style="554" customWidth="1"/>
    <col min="6404" max="6404" width="18" style="554" customWidth="1"/>
    <col min="6405" max="6405" width="15" style="554" customWidth="1"/>
    <col min="6406" max="6406" width="12.140625" style="554" customWidth="1"/>
    <col min="6407" max="6407" width="10.7109375" style="554" customWidth="1"/>
    <col min="6408" max="6408" width="9.140625" style="554"/>
    <col min="6409" max="6409" width="13.7109375" style="554" customWidth="1"/>
    <col min="6410" max="6410" width="13.5703125" style="554" customWidth="1"/>
    <col min="6411" max="6411" width="12.28515625" style="554" customWidth="1"/>
    <col min="6412" max="6412" width="13" style="554" customWidth="1"/>
    <col min="6413" max="6658" width="9.140625" style="554"/>
    <col min="6659" max="6659" width="31.85546875" style="554" customWidth="1"/>
    <col min="6660" max="6660" width="18" style="554" customWidth="1"/>
    <col min="6661" max="6661" width="15" style="554" customWidth="1"/>
    <col min="6662" max="6662" width="12.140625" style="554" customWidth="1"/>
    <col min="6663" max="6663" width="10.7109375" style="554" customWidth="1"/>
    <col min="6664" max="6664" width="9.140625" style="554"/>
    <col min="6665" max="6665" width="13.7109375" style="554" customWidth="1"/>
    <col min="6666" max="6666" width="13.5703125" style="554" customWidth="1"/>
    <col min="6667" max="6667" width="12.28515625" style="554" customWidth="1"/>
    <col min="6668" max="6668" width="13" style="554" customWidth="1"/>
    <col min="6669" max="6914" width="9.140625" style="554"/>
    <col min="6915" max="6915" width="31.85546875" style="554" customWidth="1"/>
    <col min="6916" max="6916" width="18" style="554" customWidth="1"/>
    <col min="6917" max="6917" width="15" style="554" customWidth="1"/>
    <col min="6918" max="6918" width="12.140625" style="554" customWidth="1"/>
    <col min="6919" max="6919" width="10.7109375" style="554" customWidth="1"/>
    <col min="6920" max="6920" width="9.140625" style="554"/>
    <col min="6921" max="6921" width="13.7109375" style="554" customWidth="1"/>
    <col min="6922" max="6922" width="13.5703125" style="554" customWidth="1"/>
    <col min="6923" max="6923" width="12.28515625" style="554" customWidth="1"/>
    <col min="6924" max="6924" width="13" style="554" customWidth="1"/>
    <col min="6925" max="7170" width="9.140625" style="554"/>
    <col min="7171" max="7171" width="31.85546875" style="554" customWidth="1"/>
    <col min="7172" max="7172" width="18" style="554" customWidth="1"/>
    <col min="7173" max="7173" width="15" style="554" customWidth="1"/>
    <col min="7174" max="7174" width="12.140625" style="554" customWidth="1"/>
    <col min="7175" max="7175" width="10.7109375" style="554" customWidth="1"/>
    <col min="7176" max="7176" width="9.140625" style="554"/>
    <col min="7177" max="7177" width="13.7109375" style="554" customWidth="1"/>
    <col min="7178" max="7178" width="13.5703125" style="554" customWidth="1"/>
    <col min="7179" max="7179" width="12.28515625" style="554" customWidth="1"/>
    <col min="7180" max="7180" width="13" style="554" customWidth="1"/>
    <col min="7181" max="7426" width="9.140625" style="554"/>
    <col min="7427" max="7427" width="31.85546875" style="554" customWidth="1"/>
    <col min="7428" max="7428" width="18" style="554" customWidth="1"/>
    <col min="7429" max="7429" width="15" style="554" customWidth="1"/>
    <col min="7430" max="7430" width="12.140625" style="554" customWidth="1"/>
    <col min="7431" max="7431" width="10.7109375" style="554" customWidth="1"/>
    <col min="7432" max="7432" width="9.140625" style="554"/>
    <col min="7433" max="7433" width="13.7109375" style="554" customWidth="1"/>
    <col min="7434" max="7434" width="13.5703125" style="554" customWidth="1"/>
    <col min="7435" max="7435" width="12.28515625" style="554" customWidth="1"/>
    <col min="7436" max="7436" width="13" style="554" customWidth="1"/>
    <col min="7437" max="7682" width="9.140625" style="554"/>
    <col min="7683" max="7683" width="31.85546875" style="554" customWidth="1"/>
    <col min="7684" max="7684" width="18" style="554" customWidth="1"/>
    <col min="7685" max="7685" width="15" style="554" customWidth="1"/>
    <col min="7686" max="7686" width="12.140625" style="554" customWidth="1"/>
    <col min="7687" max="7687" width="10.7109375" style="554" customWidth="1"/>
    <col min="7688" max="7688" width="9.140625" style="554"/>
    <col min="7689" max="7689" width="13.7109375" style="554" customWidth="1"/>
    <col min="7690" max="7690" width="13.5703125" style="554" customWidth="1"/>
    <col min="7691" max="7691" width="12.28515625" style="554" customWidth="1"/>
    <col min="7692" max="7692" width="13" style="554" customWidth="1"/>
    <col min="7693" max="7938" width="9.140625" style="554"/>
    <col min="7939" max="7939" width="31.85546875" style="554" customWidth="1"/>
    <col min="7940" max="7940" width="18" style="554" customWidth="1"/>
    <col min="7941" max="7941" width="15" style="554" customWidth="1"/>
    <col min="7942" max="7942" width="12.140625" style="554" customWidth="1"/>
    <col min="7943" max="7943" width="10.7109375" style="554" customWidth="1"/>
    <col min="7944" max="7944" width="9.140625" style="554"/>
    <col min="7945" max="7945" width="13.7109375" style="554" customWidth="1"/>
    <col min="7946" max="7946" width="13.5703125" style="554" customWidth="1"/>
    <col min="7947" max="7947" width="12.28515625" style="554" customWidth="1"/>
    <col min="7948" max="7948" width="13" style="554" customWidth="1"/>
    <col min="7949" max="8194" width="9.140625" style="554"/>
    <col min="8195" max="8195" width="31.85546875" style="554" customWidth="1"/>
    <col min="8196" max="8196" width="18" style="554" customWidth="1"/>
    <col min="8197" max="8197" width="15" style="554" customWidth="1"/>
    <col min="8198" max="8198" width="12.140625" style="554" customWidth="1"/>
    <col min="8199" max="8199" width="10.7109375" style="554" customWidth="1"/>
    <col min="8200" max="8200" width="9.140625" style="554"/>
    <col min="8201" max="8201" width="13.7109375" style="554" customWidth="1"/>
    <col min="8202" max="8202" width="13.5703125" style="554" customWidth="1"/>
    <col min="8203" max="8203" width="12.28515625" style="554" customWidth="1"/>
    <col min="8204" max="8204" width="13" style="554" customWidth="1"/>
    <col min="8205" max="8450" width="9.140625" style="554"/>
    <col min="8451" max="8451" width="31.85546875" style="554" customWidth="1"/>
    <col min="8452" max="8452" width="18" style="554" customWidth="1"/>
    <col min="8453" max="8453" width="15" style="554" customWidth="1"/>
    <col min="8454" max="8454" width="12.140625" style="554" customWidth="1"/>
    <col min="8455" max="8455" width="10.7109375" style="554" customWidth="1"/>
    <col min="8456" max="8456" width="9.140625" style="554"/>
    <col min="8457" max="8457" width="13.7109375" style="554" customWidth="1"/>
    <col min="8458" max="8458" width="13.5703125" style="554" customWidth="1"/>
    <col min="8459" max="8459" width="12.28515625" style="554" customWidth="1"/>
    <col min="8460" max="8460" width="13" style="554" customWidth="1"/>
    <col min="8461" max="8706" width="9.140625" style="554"/>
    <col min="8707" max="8707" width="31.85546875" style="554" customWidth="1"/>
    <col min="8708" max="8708" width="18" style="554" customWidth="1"/>
    <col min="8709" max="8709" width="15" style="554" customWidth="1"/>
    <col min="8710" max="8710" width="12.140625" style="554" customWidth="1"/>
    <col min="8711" max="8711" width="10.7109375" style="554" customWidth="1"/>
    <col min="8712" max="8712" width="9.140625" style="554"/>
    <col min="8713" max="8713" width="13.7109375" style="554" customWidth="1"/>
    <col min="8714" max="8714" width="13.5703125" style="554" customWidth="1"/>
    <col min="8715" max="8715" width="12.28515625" style="554" customWidth="1"/>
    <col min="8716" max="8716" width="13" style="554" customWidth="1"/>
    <col min="8717" max="8962" width="9.140625" style="554"/>
    <col min="8963" max="8963" width="31.85546875" style="554" customWidth="1"/>
    <col min="8964" max="8964" width="18" style="554" customWidth="1"/>
    <col min="8965" max="8965" width="15" style="554" customWidth="1"/>
    <col min="8966" max="8966" width="12.140625" style="554" customWidth="1"/>
    <col min="8967" max="8967" width="10.7109375" style="554" customWidth="1"/>
    <col min="8968" max="8968" width="9.140625" style="554"/>
    <col min="8969" max="8969" width="13.7109375" style="554" customWidth="1"/>
    <col min="8970" max="8970" width="13.5703125" style="554" customWidth="1"/>
    <col min="8971" max="8971" width="12.28515625" style="554" customWidth="1"/>
    <col min="8972" max="8972" width="13" style="554" customWidth="1"/>
    <col min="8973" max="9218" width="9.140625" style="554"/>
    <col min="9219" max="9219" width="31.85546875" style="554" customWidth="1"/>
    <col min="9220" max="9220" width="18" style="554" customWidth="1"/>
    <col min="9221" max="9221" width="15" style="554" customWidth="1"/>
    <col min="9222" max="9222" width="12.140625" style="554" customWidth="1"/>
    <col min="9223" max="9223" width="10.7109375" style="554" customWidth="1"/>
    <col min="9224" max="9224" width="9.140625" style="554"/>
    <col min="9225" max="9225" width="13.7109375" style="554" customWidth="1"/>
    <col min="9226" max="9226" width="13.5703125" style="554" customWidth="1"/>
    <col min="9227" max="9227" width="12.28515625" style="554" customWidth="1"/>
    <col min="9228" max="9228" width="13" style="554" customWidth="1"/>
    <col min="9229" max="9474" width="9.140625" style="554"/>
    <col min="9475" max="9475" width="31.85546875" style="554" customWidth="1"/>
    <col min="9476" max="9476" width="18" style="554" customWidth="1"/>
    <col min="9477" max="9477" width="15" style="554" customWidth="1"/>
    <col min="9478" max="9478" width="12.140625" style="554" customWidth="1"/>
    <col min="9479" max="9479" width="10.7109375" style="554" customWidth="1"/>
    <col min="9480" max="9480" width="9.140625" style="554"/>
    <col min="9481" max="9481" width="13.7109375" style="554" customWidth="1"/>
    <col min="9482" max="9482" width="13.5703125" style="554" customWidth="1"/>
    <col min="9483" max="9483" width="12.28515625" style="554" customWidth="1"/>
    <col min="9484" max="9484" width="13" style="554" customWidth="1"/>
    <col min="9485" max="9730" width="9.140625" style="554"/>
    <col min="9731" max="9731" width="31.85546875" style="554" customWidth="1"/>
    <col min="9732" max="9732" width="18" style="554" customWidth="1"/>
    <col min="9733" max="9733" width="15" style="554" customWidth="1"/>
    <col min="9734" max="9734" width="12.140625" style="554" customWidth="1"/>
    <col min="9735" max="9735" width="10.7109375" style="554" customWidth="1"/>
    <col min="9736" max="9736" width="9.140625" style="554"/>
    <col min="9737" max="9737" width="13.7109375" style="554" customWidth="1"/>
    <col min="9738" max="9738" width="13.5703125" style="554" customWidth="1"/>
    <col min="9739" max="9739" width="12.28515625" style="554" customWidth="1"/>
    <col min="9740" max="9740" width="13" style="554" customWidth="1"/>
    <col min="9741" max="9986" width="9.140625" style="554"/>
    <col min="9987" max="9987" width="31.85546875" style="554" customWidth="1"/>
    <col min="9988" max="9988" width="18" style="554" customWidth="1"/>
    <col min="9989" max="9989" width="15" style="554" customWidth="1"/>
    <col min="9990" max="9990" width="12.140625" style="554" customWidth="1"/>
    <col min="9991" max="9991" width="10.7109375" style="554" customWidth="1"/>
    <col min="9992" max="9992" width="9.140625" style="554"/>
    <col min="9993" max="9993" width="13.7109375" style="554" customWidth="1"/>
    <col min="9994" max="9994" width="13.5703125" style="554" customWidth="1"/>
    <col min="9995" max="9995" width="12.28515625" style="554" customWidth="1"/>
    <col min="9996" max="9996" width="13" style="554" customWidth="1"/>
    <col min="9997" max="10242" width="9.140625" style="554"/>
    <col min="10243" max="10243" width="31.85546875" style="554" customWidth="1"/>
    <col min="10244" max="10244" width="18" style="554" customWidth="1"/>
    <col min="10245" max="10245" width="15" style="554" customWidth="1"/>
    <col min="10246" max="10246" width="12.140625" style="554" customWidth="1"/>
    <col min="10247" max="10247" width="10.7109375" style="554" customWidth="1"/>
    <col min="10248" max="10248" width="9.140625" style="554"/>
    <col min="10249" max="10249" width="13.7109375" style="554" customWidth="1"/>
    <col min="10250" max="10250" width="13.5703125" style="554" customWidth="1"/>
    <col min="10251" max="10251" width="12.28515625" style="554" customWidth="1"/>
    <col min="10252" max="10252" width="13" style="554" customWidth="1"/>
    <col min="10253" max="10498" width="9.140625" style="554"/>
    <col min="10499" max="10499" width="31.85546875" style="554" customWidth="1"/>
    <col min="10500" max="10500" width="18" style="554" customWidth="1"/>
    <col min="10501" max="10501" width="15" style="554" customWidth="1"/>
    <col min="10502" max="10502" width="12.140625" style="554" customWidth="1"/>
    <col min="10503" max="10503" width="10.7109375" style="554" customWidth="1"/>
    <col min="10504" max="10504" width="9.140625" style="554"/>
    <col min="10505" max="10505" width="13.7109375" style="554" customWidth="1"/>
    <col min="10506" max="10506" width="13.5703125" style="554" customWidth="1"/>
    <col min="10507" max="10507" width="12.28515625" style="554" customWidth="1"/>
    <col min="10508" max="10508" width="13" style="554" customWidth="1"/>
    <col min="10509" max="10754" width="9.140625" style="554"/>
    <col min="10755" max="10755" width="31.85546875" style="554" customWidth="1"/>
    <col min="10756" max="10756" width="18" style="554" customWidth="1"/>
    <col min="10757" max="10757" width="15" style="554" customWidth="1"/>
    <col min="10758" max="10758" width="12.140625" style="554" customWidth="1"/>
    <col min="10759" max="10759" width="10.7109375" style="554" customWidth="1"/>
    <col min="10760" max="10760" width="9.140625" style="554"/>
    <col min="10761" max="10761" width="13.7109375" style="554" customWidth="1"/>
    <col min="10762" max="10762" width="13.5703125" style="554" customWidth="1"/>
    <col min="10763" max="10763" width="12.28515625" style="554" customWidth="1"/>
    <col min="10764" max="10764" width="13" style="554" customWidth="1"/>
    <col min="10765" max="11010" width="9.140625" style="554"/>
    <col min="11011" max="11011" width="31.85546875" style="554" customWidth="1"/>
    <col min="11012" max="11012" width="18" style="554" customWidth="1"/>
    <col min="11013" max="11013" width="15" style="554" customWidth="1"/>
    <col min="11014" max="11014" width="12.140625" style="554" customWidth="1"/>
    <col min="11015" max="11015" width="10.7109375" style="554" customWidth="1"/>
    <col min="11016" max="11016" width="9.140625" style="554"/>
    <col min="11017" max="11017" width="13.7109375" style="554" customWidth="1"/>
    <col min="11018" max="11018" width="13.5703125" style="554" customWidth="1"/>
    <col min="11019" max="11019" width="12.28515625" style="554" customWidth="1"/>
    <col min="11020" max="11020" width="13" style="554" customWidth="1"/>
    <col min="11021" max="11266" width="9.140625" style="554"/>
    <col min="11267" max="11267" width="31.85546875" style="554" customWidth="1"/>
    <col min="11268" max="11268" width="18" style="554" customWidth="1"/>
    <col min="11269" max="11269" width="15" style="554" customWidth="1"/>
    <col min="11270" max="11270" width="12.140625" style="554" customWidth="1"/>
    <col min="11271" max="11271" width="10.7109375" style="554" customWidth="1"/>
    <col min="11272" max="11272" width="9.140625" style="554"/>
    <col min="11273" max="11273" width="13.7109375" style="554" customWidth="1"/>
    <col min="11274" max="11274" width="13.5703125" style="554" customWidth="1"/>
    <col min="11275" max="11275" width="12.28515625" style="554" customWidth="1"/>
    <col min="11276" max="11276" width="13" style="554" customWidth="1"/>
    <col min="11277" max="11522" width="9.140625" style="554"/>
    <col min="11523" max="11523" width="31.85546875" style="554" customWidth="1"/>
    <col min="11524" max="11524" width="18" style="554" customWidth="1"/>
    <col min="11525" max="11525" width="15" style="554" customWidth="1"/>
    <col min="11526" max="11526" width="12.140625" style="554" customWidth="1"/>
    <col min="11527" max="11527" width="10.7109375" style="554" customWidth="1"/>
    <col min="11528" max="11528" width="9.140625" style="554"/>
    <col min="11529" max="11529" width="13.7109375" style="554" customWidth="1"/>
    <col min="11530" max="11530" width="13.5703125" style="554" customWidth="1"/>
    <col min="11531" max="11531" width="12.28515625" style="554" customWidth="1"/>
    <col min="11532" max="11532" width="13" style="554" customWidth="1"/>
    <col min="11533" max="11778" width="9.140625" style="554"/>
    <col min="11779" max="11779" width="31.85546875" style="554" customWidth="1"/>
    <col min="11780" max="11780" width="18" style="554" customWidth="1"/>
    <col min="11781" max="11781" width="15" style="554" customWidth="1"/>
    <col min="11782" max="11782" width="12.140625" style="554" customWidth="1"/>
    <col min="11783" max="11783" width="10.7109375" style="554" customWidth="1"/>
    <col min="11784" max="11784" width="9.140625" style="554"/>
    <col min="11785" max="11785" width="13.7109375" style="554" customWidth="1"/>
    <col min="11786" max="11786" width="13.5703125" style="554" customWidth="1"/>
    <col min="11787" max="11787" width="12.28515625" style="554" customWidth="1"/>
    <col min="11788" max="11788" width="13" style="554" customWidth="1"/>
    <col min="11789" max="12034" width="9.140625" style="554"/>
    <col min="12035" max="12035" width="31.85546875" style="554" customWidth="1"/>
    <col min="12036" max="12036" width="18" style="554" customWidth="1"/>
    <col min="12037" max="12037" width="15" style="554" customWidth="1"/>
    <col min="12038" max="12038" width="12.140625" style="554" customWidth="1"/>
    <col min="12039" max="12039" width="10.7109375" style="554" customWidth="1"/>
    <col min="12040" max="12040" width="9.140625" style="554"/>
    <col min="12041" max="12041" width="13.7109375" style="554" customWidth="1"/>
    <col min="12042" max="12042" width="13.5703125" style="554" customWidth="1"/>
    <col min="12043" max="12043" width="12.28515625" style="554" customWidth="1"/>
    <col min="12044" max="12044" width="13" style="554" customWidth="1"/>
    <col min="12045" max="12290" width="9.140625" style="554"/>
    <col min="12291" max="12291" width="31.85546875" style="554" customWidth="1"/>
    <col min="12292" max="12292" width="18" style="554" customWidth="1"/>
    <col min="12293" max="12293" width="15" style="554" customWidth="1"/>
    <col min="12294" max="12294" width="12.140625" style="554" customWidth="1"/>
    <col min="12295" max="12295" width="10.7109375" style="554" customWidth="1"/>
    <col min="12296" max="12296" width="9.140625" style="554"/>
    <col min="12297" max="12297" width="13.7109375" style="554" customWidth="1"/>
    <col min="12298" max="12298" width="13.5703125" style="554" customWidth="1"/>
    <col min="12299" max="12299" width="12.28515625" style="554" customWidth="1"/>
    <col min="12300" max="12300" width="13" style="554" customWidth="1"/>
    <col min="12301" max="12546" width="9.140625" style="554"/>
    <col min="12547" max="12547" width="31.85546875" style="554" customWidth="1"/>
    <col min="12548" max="12548" width="18" style="554" customWidth="1"/>
    <col min="12549" max="12549" width="15" style="554" customWidth="1"/>
    <col min="12550" max="12550" width="12.140625" style="554" customWidth="1"/>
    <col min="12551" max="12551" width="10.7109375" style="554" customWidth="1"/>
    <col min="12552" max="12552" width="9.140625" style="554"/>
    <col min="12553" max="12553" width="13.7109375" style="554" customWidth="1"/>
    <col min="12554" max="12554" width="13.5703125" style="554" customWidth="1"/>
    <col min="12555" max="12555" width="12.28515625" style="554" customWidth="1"/>
    <col min="12556" max="12556" width="13" style="554" customWidth="1"/>
    <col min="12557" max="12802" width="9.140625" style="554"/>
    <col min="12803" max="12803" width="31.85546875" style="554" customWidth="1"/>
    <col min="12804" max="12804" width="18" style="554" customWidth="1"/>
    <col min="12805" max="12805" width="15" style="554" customWidth="1"/>
    <col min="12806" max="12806" width="12.140625" style="554" customWidth="1"/>
    <col min="12807" max="12807" width="10.7109375" style="554" customWidth="1"/>
    <col min="12808" max="12808" width="9.140625" style="554"/>
    <col min="12809" max="12809" width="13.7109375" style="554" customWidth="1"/>
    <col min="12810" max="12810" width="13.5703125" style="554" customWidth="1"/>
    <col min="12811" max="12811" width="12.28515625" style="554" customWidth="1"/>
    <col min="12812" max="12812" width="13" style="554" customWidth="1"/>
    <col min="12813" max="13058" width="9.140625" style="554"/>
    <col min="13059" max="13059" width="31.85546875" style="554" customWidth="1"/>
    <col min="13060" max="13060" width="18" style="554" customWidth="1"/>
    <col min="13061" max="13061" width="15" style="554" customWidth="1"/>
    <col min="13062" max="13062" width="12.140625" style="554" customWidth="1"/>
    <col min="13063" max="13063" width="10.7109375" style="554" customWidth="1"/>
    <col min="13064" max="13064" width="9.140625" style="554"/>
    <col min="13065" max="13065" width="13.7109375" style="554" customWidth="1"/>
    <col min="13066" max="13066" width="13.5703125" style="554" customWidth="1"/>
    <col min="13067" max="13067" width="12.28515625" style="554" customWidth="1"/>
    <col min="13068" max="13068" width="13" style="554" customWidth="1"/>
    <col min="13069" max="13314" width="9.140625" style="554"/>
    <col min="13315" max="13315" width="31.85546875" style="554" customWidth="1"/>
    <col min="13316" max="13316" width="18" style="554" customWidth="1"/>
    <col min="13317" max="13317" width="15" style="554" customWidth="1"/>
    <col min="13318" max="13318" width="12.140625" style="554" customWidth="1"/>
    <col min="13319" max="13319" width="10.7109375" style="554" customWidth="1"/>
    <col min="13320" max="13320" width="9.140625" style="554"/>
    <col min="13321" max="13321" width="13.7109375" style="554" customWidth="1"/>
    <col min="13322" max="13322" width="13.5703125" style="554" customWidth="1"/>
    <col min="13323" max="13323" width="12.28515625" style="554" customWidth="1"/>
    <col min="13324" max="13324" width="13" style="554" customWidth="1"/>
    <col min="13325" max="13570" width="9.140625" style="554"/>
    <col min="13571" max="13571" width="31.85546875" style="554" customWidth="1"/>
    <col min="13572" max="13572" width="18" style="554" customWidth="1"/>
    <col min="13573" max="13573" width="15" style="554" customWidth="1"/>
    <col min="13574" max="13574" width="12.140625" style="554" customWidth="1"/>
    <col min="13575" max="13575" width="10.7109375" style="554" customWidth="1"/>
    <col min="13576" max="13576" width="9.140625" style="554"/>
    <col min="13577" max="13577" width="13.7109375" style="554" customWidth="1"/>
    <col min="13578" max="13578" width="13.5703125" style="554" customWidth="1"/>
    <col min="13579" max="13579" width="12.28515625" style="554" customWidth="1"/>
    <col min="13580" max="13580" width="13" style="554" customWidth="1"/>
    <col min="13581" max="13826" width="9.140625" style="554"/>
    <col min="13827" max="13827" width="31.85546875" style="554" customWidth="1"/>
    <col min="13828" max="13828" width="18" style="554" customWidth="1"/>
    <col min="13829" max="13829" width="15" style="554" customWidth="1"/>
    <col min="13830" max="13830" width="12.140625" style="554" customWidth="1"/>
    <col min="13831" max="13831" width="10.7109375" style="554" customWidth="1"/>
    <col min="13832" max="13832" width="9.140625" style="554"/>
    <col min="13833" max="13833" width="13.7109375" style="554" customWidth="1"/>
    <col min="13834" max="13834" width="13.5703125" style="554" customWidth="1"/>
    <col min="13835" max="13835" width="12.28515625" style="554" customWidth="1"/>
    <col min="13836" max="13836" width="13" style="554" customWidth="1"/>
    <col min="13837" max="14082" width="9.140625" style="554"/>
    <col min="14083" max="14083" width="31.85546875" style="554" customWidth="1"/>
    <col min="14084" max="14084" width="18" style="554" customWidth="1"/>
    <col min="14085" max="14085" width="15" style="554" customWidth="1"/>
    <col min="14086" max="14086" width="12.140625" style="554" customWidth="1"/>
    <col min="14087" max="14087" width="10.7109375" style="554" customWidth="1"/>
    <col min="14088" max="14088" width="9.140625" style="554"/>
    <col min="14089" max="14089" width="13.7109375" style="554" customWidth="1"/>
    <col min="14090" max="14090" width="13.5703125" style="554" customWidth="1"/>
    <col min="14091" max="14091" width="12.28515625" style="554" customWidth="1"/>
    <col min="14092" max="14092" width="13" style="554" customWidth="1"/>
    <col min="14093" max="14338" width="9.140625" style="554"/>
    <col min="14339" max="14339" width="31.85546875" style="554" customWidth="1"/>
    <col min="14340" max="14340" width="18" style="554" customWidth="1"/>
    <col min="14341" max="14341" width="15" style="554" customWidth="1"/>
    <col min="14342" max="14342" width="12.140625" style="554" customWidth="1"/>
    <col min="14343" max="14343" width="10.7109375" style="554" customWidth="1"/>
    <col min="14344" max="14344" width="9.140625" style="554"/>
    <col min="14345" max="14345" width="13.7109375" style="554" customWidth="1"/>
    <col min="14346" max="14346" width="13.5703125" style="554" customWidth="1"/>
    <col min="14347" max="14347" width="12.28515625" style="554" customWidth="1"/>
    <col min="14348" max="14348" width="13" style="554" customWidth="1"/>
    <col min="14349" max="14594" width="9.140625" style="554"/>
    <col min="14595" max="14595" width="31.85546875" style="554" customWidth="1"/>
    <col min="14596" max="14596" width="18" style="554" customWidth="1"/>
    <col min="14597" max="14597" width="15" style="554" customWidth="1"/>
    <col min="14598" max="14598" width="12.140625" style="554" customWidth="1"/>
    <col min="14599" max="14599" width="10.7109375" style="554" customWidth="1"/>
    <col min="14600" max="14600" width="9.140625" style="554"/>
    <col min="14601" max="14601" width="13.7109375" style="554" customWidth="1"/>
    <col min="14602" max="14602" width="13.5703125" style="554" customWidth="1"/>
    <col min="14603" max="14603" width="12.28515625" style="554" customWidth="1"/>
    <col min="14604" max="14604" width="13" style="554" customWidth="1"/>
    <col min="14605" max="14850" width="9.140625" style="554"/>
    <col min="14851" max="14851" width="31.85546875" style="554" customWidth="1"/>
    <col min="14852" max="14852" width="18" style="554" customWidth="1"/>
    <col min="14853" max="14853" width="15" style="554" customWidth="1"/>
    <col min="14854" max="14854" width="12.140625" style="554" customWidth="1"/>
    <col min="14855" max="14855" width="10.7109375" style="554" customWidth="1"/>
    <col min="14856" max="14856" width="9.140625" style="554"/>
    <col min="14857" max="14857" width="13.7109375" style="554" customWidth="1"/>
    <col min="14858" max="14858" width="13.5703125" style="554" customWidth="1"/>
    <col min="14859" max="14859" width="12.28515625" style="554" customWidth="1"/>
    <col min="14860" max="14860" width="13" style="554" customWidth="1"/>
    <col min="14861" max="15106" width="9.140625" style="554"/>
    <col min="15107" max="15107" width="31.85546875" style="554" customWidth="1"/>
    <col min="15108" max="15108" width="18" style="554" customWidth="1"/>
    <col min="15109" max="15109" width="15" style="554" customWidth="1"/>
    <col min="15110" max="15110" width="12.140625" style="554" customWidth="1"/>
    <col min="15111" max="15111" width="10.7109375" style="554" customWidth="1"/>
    <col min="15112" max="15112" width="9.140625" style="554"/>
    <col min="15113" max="15113" width="13.7109375" style="554" customWidth="1"/>
    <col min="15114" max="15114" width="13.5703125" style="554" customWidth="1"/>
    <col min="15115" max="15115" width="12.28515625" style="554" customWidth="1"/>
    <col min="15116" max="15116" width="13" style="554" customWidth="1"/>
    <col min="15117" max="15362" width="9.140625" style="554"/>
    <col min="15363" max="15363" width="31.85546875" style="554" customWidth="1"/>
    <col min="15364" max="15364" width="18" style="554" customWidth="1"/>
    <col min="15365" max="15365" width="15" style="554" customWidth="1"/>
    <col min="15366" max="15366" width="12.140625" style="554" customWidth="1"/>
    <col min="15367" max="15367" width="10.7109375" style="554" customWidth="1"/>
    <col min="15368" max="15368" width="9.140625" style="554"/>
    <col min="15369" max="15369" width="13.7109375" style="554" customWidth="1"/>
    <col min="15370" max="15370" width="13.5703125" style="554" customWidth="1"/>
    <col min="15371" max="15371" width="12.28515625" style="554" customWidth="1"/>
    <col min="15372" max="15372" width="13" style="554" customWidth="1"/>
    <col min="15373" max="15618" width="9.140625" style="554"/>
    <col min="15619" max="15619" width="31.85546875" style="554" customWidth="1"/>
    <col min="15620" max="15620" width="18" style="554" customWidth="1"/>
    <col min="15621" max="15621" width="15" style="554" customWidth="1"/>
    <col min="15622" max="15622" width="12.140625" style="554" customWidth="1"/>
    <col min="15623" max="15623" width="10.7109375" style="554" customWidth="1"/>
    <col min="15624" max="15624" width="9.140625" style="554"/>
    <col min="15625" max="15625" width="13.7109375" style="554" customWidth="1"/>
    <col min="15626" max="15626" width="13.5703125" style="554" customWidth="1"/>
    <col min="15627" max="15627" width="12.28515625" style="554" customWidth="1"/>
    <col min="15628" max="15628" width="13" style="554" customWidth="1"/>
    <col min="15629" max="15874" width="9.140625" style="554"/>
    <col min="15875" max="15875" width="31.85546875" style="554" customWidth="1"/>
    <col min="15876" max="15876" width="18" style="554" customWidth="1"/>
    <col min="15877" max="15877" width="15" style="554" customWidth="1"/>
    <col min="15878" max="15878" width="12.140625" style="554" customWidth="1"/>
    <col min="15879" max="15879" width="10.7109375" style="554" customWidth="1"/>
    <col min="15880" max="15880" width="9.140625" style="554"/>
    <col min="15881" max="15881" width="13.7109375" style="554" customWidth="1"/>
    <col min="15882" max="15882" width="13.5703125" style="554" customWidth="1"/>
    <col min="15883" max="15883" width="12.28515625" style="554" customWidth="1"/>
    <col min="15884" max="15884" width="13" style="554" customWidth="1"/>
    <col min="15885" max="16130" width="9.140625" style="554"/>
    <col min="16131" max="16131" width="31.85546875" style="554" customWidth="1"/>
    <col min="16132" max="16132" width="18" style="554" customWidth="1"/>
    <col min="16133" max="16133" width="15" style="554" customWidth="1"/>
    <col min="16134" max="16134" width="12.140625" style="554" customWidth="1"/>
    <col min="16135" max="16135" width="10.7109375" style="554" customWidth="1"/>
    <col min="16136" max="16136" width="9.140625" style="554"/>
    <col min="16137" max="16137" width="13.7109375" style="554" customWidth="1"/>
    <col min="16138" max="16138" width="13.5703125" style="554" customWidth="1"/>
    <col min="16139" max="16139" width="12.28515625" style="554" customWidth="1"/>
    <col min="16140" max="16140" width="13" style="554" customWidth="1"/>
    <col min="16141" max="16384" width="9.140625" style="554"/>
  </cols>
  <sheetData>
    <row r="1" spans="1:18" ht="24.75" x14ac:dyDescent="0.25">
      <c r="A1" s="550" t="s">
        <v>292</v>
      </c>
      <c r="B1" s="551"/>
      <c r="C1" s="552"/>
      <c r="D1" s="552"/>
      <c r="E1" s="552"/>
      <c r="F1" s="552"/>
      <c r="G1" s="552"/>
      <c r="H1" s="552"/>
      <c r="I1" s="552"/>
      <c r="J1" s="552"/>
      <c r="K1" s="552"/>
      <c r="L1" s="552"/>
      <c r="M1" s="552"/>
      <c r="N1" s="553"/>
      <c r="O1" s="552"/>
      <c r="P1" s="552"/>
      <c r="Q1" s="552"/>
      <c r="R1" s="552"/>
    </row>
    <row r="2" spans="1:18" ht="20.25" thickBot="1" x14ac:dyDescent="0.3">
      <c r="A2" s="555" t="s">
        <v>400</v>
      </c>
      <c r="B2" s="556"/>
      <c r="C2" s="557"/>
      <c r="D2" s="557"/>
      <c r="E2" s="557"/>
      <c r="F2" s="557"/>
      <c r="G2" s="557"/>
      <c r="H2" s="557"/>
      <c r="I2" s="557"/>
      <c r="J2" s="557"/>
      <c r="K2" s="557"/>
      <c r="L2" s="557"/>
      <c r="M2" s="557"/>
      <c r="N2" s="558"/>
      <c r="O2" s="557"/>
      <c r="P2" s="557"/>
      <c r="Q2" s="557"/>
      <c r="R2" s="557"/>
    </row>
    <row r="3" spans="1:18" ht="15" customHeight="1" thickBot="1" x14ac:dyDescent="0.3">
      <c r="A3" s="956" t="s">
        <v>33</v>
      </c>
      <c r="B3" s="958" t="s">
        <v>92</v>
      </c>
      <c r="C3" s="964" t="s">
        <v>196</v>
      </c>
      <c r="D3" s="965"/>
      <c r="E3" s="966"/>
      <c r="F3" s="559" t="s">
        <v>209</v>
      </c>
      <c r="G3" s="973" t="s">
        <v>296</v>
      </c>
      <c r="H3" s="969" t="s">
        <v>145</v>
      </c>
      <c r="I3" s="560" t="s">
        <v>199</v>
      </c>
      <c r="J3" s="962" t="s">
        <v>179</v>
      </c>
      <c r="K3" s="962" t="s">
        <v>180</v>
      </c>
      <c r="L3" s="967" t="s">
        <v>382</v>
      </c>
      <c r="M3" s="969" t="s">
        <v>181</v>
      </c>
      <c r="N3" s="561" t="s">
        <v>218</v>
      </c>
      <c r="O3" s="962" t="s">
        <v>22</v>
      </c>
      <c r="P3" s="971" t="s">
        <v>398</v>
      </c>
      <c r="Q3" s="960" t="s">
        <v>24</v>
      </c>
      <c r="R3" s="960" t="s">
        <v>182</v>
      </c>
    </row>
    <row r="4" spans="1:18" ht="15" customHeight="1" thickBot="1" x14ac:dyDescent="0.3">
      <c r="A4" s="957"/>
      <c r="B4" s="959"/>
      <c r="C4" s="562" t="s">
        <v>195</v>
      </c>
      <c r="D4" s="562" t="s">
        <v>197</v>
      </c>
      <c r="E4" s="562" t="s">
        <v>198</v>
      </c>
      <c r="F4" s="562" t="s">
        <v>191</v>
      </c>
      <c r="G4" s="974"/>
      <c r="H4" s="970"/>
      <c r="I4" s="563" t="s">
        <v>216</v>
      </c>
      <c r="J4" s="963"/>
      <c r="K4" s="963"/>
      <c r="L4" s="968"/>
      <c r="M4" s="970"/>
      <c r="N4" s="564" t="s">
        <v>217</v>
      </c>
      <c r="O4" s="963"/>
      <c r="P4" s="972"/>
      <c r="Q4" s="961"/>
      <c r="R4" s="961"/>
    </row>
    <row r="5" spans="1:18" ht="16.5" x14ac:dyDescent="0.25">
      <c r="A5" s="460" t="s">
        <v>2549</v>
      </c>
      <c r="B5" s="565"/>
      <c r="C5" s="566"/>
      <c r="D5" s="566"/>
      <c r="E5" s="566"/>
      <c r="F5" s="566"/>
      <c r="G5" s="566"/>
      <c r="H5" s="566"/>
      <c r="I5" s="566"/>
      <c r="J5" s="566"/>
      <c r="K5" s="566"/>
      <c r="L5" s="566"/>
      <c r="M5" s="566"/>
      <c r="N5" s="567"/>
      <c r="O5" s="566"/>
      <c r="P5" s="566"/>
      <c r="Q5" s="568"/>
      <c r="R5" s="568"/>
    </row>
    <row r="6" spans="1:18" s="715" customFormat="1" ht="15" x14ac:dyDescent="0.25">
      <c r="A6" s="458">
        <v>44903</v>
      </c>
      <c r="B6" s="610" t="s">
        <v>3207</v>
      </c>
      <c r="C6" s="713"/>
      <c r="D6" s="713"/>
      <c r="E6" s="713"/>
      <c r="F6" s="713"/>
      <c r="G6" s="713"/>
      <c r="H6" s="713"/>
      <c r="I6" s="713"/>
      <c r="J6" s="713"/>
      <c r="K6" s="713">
        <v>100570</v>
      </c>
      <c r="L6" s="713"/>
      <c r="M6" s="713"/>
      <c r="N6" s="714"/>
      <c r="O6" s="713"/>
      <c r="P6" s="713"/>
      <c r="Q6" s="713"/>
      <c r="R6" s="713"/>
    </row>
    <row r="7" spans="1:18" s="715" customFormat="1" ht="15" x14ac:dyDescent="0.25">
      <c r="A7" s="459"/>
      <c r="B7" s="721" t="s">
        <v>3208</v>
      </c>
      <c r="C7" s="713"/>
      <c r="D7" s="713"/>
      <c r="E7" s="713"/>
      <c r="F7" s="713"/>
      <c r="G7" s="713"/>
      <c r="H7" s="713"/>
      <c r="I7" s="713"/>
      <c r="J7" s="713"/>
      <c r="K7" s="713">
        <v>355200</v>
      </c>
      <c r="L7" s="713"/>
      <c r="M7" s="713"/>
      <c r="N7" s="714"/>
      <c r="O7" s="713"/>
      <c r="P7" s="713"/>
      <c r="Q7" s="713"/>
      <c r="R7" s="713"/>
    </row>
    <row r="8" spans="1:18" s="715" customFormat="1" ht="15" x14ac:dyDescent="0.25">
      <c r="A8" s="717">
        <v>44928</v>
      </c>
      <c r="B8" s="610" t="s">
        <v>3200</v>
      </c>
      <c r="C8" s="713"/>
      <c r="D8" s="713"/>
      <c r="E8" s="713"/>
      <c r="F8" s="713"/>
      <c r="G8" s="713"/>
      <c r="H8" s="713"/>
      <c r="I8" s="713"/>
      <c r="J8" s="713"/>
      <c r="K8" s="713"/>
      <c r="L8" s="713"/>
      <c r="M8" s="713"/>
      <c r="N8" s="714">
        <v>1995821</v>
      </c>
      <c r="O8" s="713"/>
      <c r="P8" s="713"/>
      <c r="Q8" s="713"/>
      <c r="R8" s="713"/>
    </row>
    <row r="9" spans="1:18" ht="15" x14ac:dyDescent="0.25">
      <c r="A9" s="459">
        <v>44929</v>
      </c>
      <c r="B9" s="569" t="s">
        <v>3210</v>
      </c>
      <c r="C9" s="570">
        <v>70000</v>
      </c>
      <c r="D9" s="570"/>
      <c r="E9" s="570"/>
      <c r="F9" s="570"/>
      <c r="G9" s="570"/>
      <c r="H9" s="570"/>
      <c r="I9" s="570"/>
      <c r="J9" s="570"/>
      <c r="K9" s="570"/>
      <c r="L9" s="570"/>
      <c r="M9" s="570"/>
      <c r="N9" s="571"/>
      <c r="O9" s="570"/>
      <c r="P9" s="570"/>
      <c r="Q9" s="570"/>
      <c r="R9" s="570"/>
    </row>
    <row r="10" spans="1:18" ht="15" x14ac:dyDescent="0.25">
      <c r="A10" s="459"/>
      <c r="B10" s="572" t="s">
        <v>3214</v>
      </c>
      <c r="C10" s="570"/>
      <c r="D10" s="570"/>
      <c r="E10" s="570"/>
      <c r="F10" s="570"/>
      <c r="G10" s="570"/>
      <c r="H10" s="570">
        <v>170000</v>
      </c>
      <c r="I10" s="570"/>
      <c r="J10" s="570"/>
      <c r="K10" s="570"/>
      <c r="L10" s="570"/>
      <c r="M10" s="570"/>
      <c r="N10" s="571"/>
      <c r="O10" s="570"/>
      <c r="P10" s="570"/>
      <c r="Q10" s="570"/>
      <c r="R10" s="570"/>
    </row>
    <row r="11" spans="1:18" ht="15" x14ac:dyDescent="0.25">
      <c r="A11" s="459"/>
      <c r="B11" s="572" t="s">
        <v>3215</v>
      </c>
      <c r="C11" s="570"/>
      <c r="D11" s="570"/>
      <c r="E11" s="570"/>
      <c r="F11" s="570"/>
      <c r="G11" s="570"/>
      <c r="H11" s="570">
        <v>250000</v>
      </c>
      <c r="I11" s="570"/>
      <c r="J11" s="570"/>
      <c r="K11" s="570"/>
      <c r="L11" s="570"/>
      <c r="M11" s="570"/>
      <c r="N11" s="571"/>
      <c r="O11" s="570"/>
      <c r="P11" s="570"/>
      <c r="Q11" s="570"/>
      <c r="R11" s="570"/>
    </row>
    <row r="12" spans="1:18" ht="15" x14ac:dyDescent="0.25">
      <c r="A12" s="459"/>
      <c r="B12" s="573" t="s">
        <v>3209</v>
      </c>
      <c r="C12" s="570"/>
      <c r="D12" s="570"/>
      <c r="E12" s="570"/>
      <c r="F12" s="570"/>
      <c r="G12" s="570"/>
      <c r="H12" s="570"/>
      <c r="I12" s="570">
        <v>150000</v>
      </c>
      <c r="J12" s="570"/>
      <c r="K12" s="570"/>
      <c r="L12" s="570"/>
      <c r="M12" s="570"/>
      <c r="N12" s="571"/>
      <c r="O12" s="570"/>
      <c r="P12" s="570"/>
      <c r="Q12" s="570"/>
      <c r="R12" s="570"/>
    </row>
    <row r="13" spans="1:18" ht="15" x14ac:dyDescent="0.25">
      <c r="A13" s="459"/>
      <c r="B13" s="573" t="s">
        <v>3211</v>
      </c>
      <c r="C13" s="570"/>
      <c r="D13" s="570"/>
      <c r="E13" s="570">
        <v>135000</v>
      </c>
      <c r="F13" s="570"/>
      <c r="G13" s="570"/>
      <c r="H13" s="570"/>
      <c r="I13" s="570"/>
      <c r="J13" s="570"/>
      <c r="K13" s="570"/>
      <c r="L13" s="570"/>
      <c r="M13" s="570"/>
      <c r="N13" s="571"/>
      <c r="O13" s="570"/>
      <c r="P13" s="570"/>
      <c r="Q13" s="570"/>
      <c r="R13" s="570"/>
    </row>
    <row r="14" spans="1:18" ht="15" x14ac:dyDescent="0.25">
      <c r="A14" s="459"/>
      <c r="B14" s="573" t="s">
        <v>3216</v>
      </c>
      <c r="C14" s="570"/>
      <c r="D14" s="570"/>
      <c r="E14" s="570"/>
      <c r="F14" s="570"/>
      <c r="G14" s="570"/>
      <c r="H14" s="570"/>
      <c r="I14" s="570">
        <v>1500000</v>
      </c>
      <c r="J14" s="570"/>
      <c r="K14" s="570"/>
      <c r="L14" s="570"/>
      <c r="M14" s="570"/>
      <c r="N14" s="571"/>
      <c r="O14" s="570"/>
      <c r="P14" s="570"/>
      <c r="Q14" s="570"/>
      <c r="R14" s="570"/>
    </row>
    <row r="15" spans="1:18" ht="15" x14ac:dyDescent="0.25">
      <c r="A15" s="459"/>
      <c r="B15" s="573" t="s">
        <v>3217</v>
      </c>
      <c r="C15" s="570"/>
      <c r="D15" s="570"/>
      <c r="E15" s="570"/>
      <c r="F15" s="570"/>
      <c r="G15" s="570">
        <v>15000</v>
      </c>
      <c r="H15" s="570"/>
      <c r="I15" s="570"/>
      <c r="J15" s="570"/>
      <c r="K15" s="570"/>
      <c r="L15" s="570"/>
      <c r="M15" s="570"/>
      <c r="N15" s="571"/>
      <c r="O15" s="570"/>
      <c r="P15" s="570"/>
      <c r="Q15" s="570"/>
      <c r="R15" s="570"/>
    </row>
    <row r="16" spans="1:18" ht="15" x14ac:dyDescent="0.25">
      <c r="A16" s="459">
        <v>44930</v>
      </c>
      <c r="B16" s="572" t="s">
        <v>3212</v>
      </c>
      <c r="C16" s="570"/>
      <c r="D16" s="570"/>
      <c r="E16" s="570"/>
      <c r="F16" s="570"/>
      <c r="G16" s="570"/>
      <c r="H16" s="570">
        <v>150000</v>
      </c>
      <c r="I16" s="570"/>
      <c r="J16" s="570"/>
      <c r="K16" s="570"/>
      <c r="L16" s="570"/>
      <c r="M16" s="570"/>
      <c r="N16" s="571"/>
      <c r="O16" s="570"/>
      <c r="P16" s="570"/>
      <c r="Q16" s="570"/>
      <c r="R16" s="570"/>
    </row>
    <row r="17" spans="1:18" ht="15" x14ac:dyDescent="0.25">
      <c r="A17" s="459"/>
      <c r="B17" s="572" t="s">
        <v>3213</v>
      </c>
      <c r="C17" s="570"/>
      <c r="D17" s="570"/>
      <c r="E17" s="570"/>
      <c r="F17" s="570">
        <f>609000+387500</f>
        <v>996500</v>
      </c>
      <c r="G17" s="570"/>
      <c r="H17" s="570"/>
      <c r="I17" s="570"/>
      <c r="J17" s="570"/>
      <c r="K17" s="570"/>
      <c r="L17" s="570"/>
      <c r="M17" s="570"/>
      <c r="N17" s="571"/>
      <c r="O17" s="570"/>
      <c r="P17" s="570"/>
      <c r="Q17" s="570"/>
      <c r="R17" s="570"/>
    </row>
    <row r="18" spans="1:18" ht="15" x14ac:dyDescent="0.25">
      <c r="A18" s="459">
        <v>44931</v>
      </c>
      <c r="B18" s="572" t="s">
        <v>3218</v>
      </c>
      <c r="C18" s="570"/>
      <c r="D18" s="570"/>
      <c r="E18" s="570">
        <v>215000</v>
      </c>
      <c r="F18" s="570"/>
      <c r="G18" s="570"/>
      <c r="H18" s="570"/>
      <c r="I18" s="570"/>
      <c r="J18" s="570"/>
      <c r="K18" s="570"/>
      <c r="L18" s="570"/>
      <c r="M18" s="570"/>
      <c r="N18" s="571"/>
      <c r="O18" s="570"/>
      <c r="P18" s="570"/>
      <c r="Q18" s="570"/>
      <c r="R18" s="570"/>
    </row>
    <row r="19" spans="1:18" ht="15" x14ac:dyDescent="0.25">
      <c r="A19" s="459"/>
      <c r="B19" s="572" t="s">
        <v>3219</v>
      </c>
      <c r="C19" s="570"/>
      <c r="D19" s="570">
        <v>65000</v>
      </c>
      <c r="E19" s="570"/>
      <c r="F19" s="570"/>
      <c r="G19" s="570"/>
      <c r="H19" s="570"/>
      <c r="I19" s="570"/>
      <c r="J19" s="570"/>
      <c r="K19" s="570"/>
      <c r="L19" s="570"/>
      <c r="M19" s="570"/>
      <c r="N19" s="571"/>
      <c r="O19" s="570"/>
      <c r="P19" s="570"/>
      <c r="Q19" s="570"/>
      <c r="R19" s="570"/>
    </row>
    <row r="20" spans="1:18" ht="15" x14ac:dyDescent="0.25">
      <c r="A20" s="459">
        <v>44932</v>
      </c>
      <c r="B20" s="573" t="s">
        <v>3220</v>
      </c>
      <c r="C20" s="570"/>
      <c r="D20" s="570"/>
      <c r="E20" s="570"/>
      <c r="F20" s="570"/>
      <c r="G20" s="570"/>
      <c r="H20" s="570"/>
      <c r="I20" s="570"/>
      <c r="J20" s="570"/>
      <c r="K20" s="570"/>
      <c r="L20" s="570"/>
      <c r="M20" s="570"/>
      <c r="N20" s="571"/>
      <c r="O20" s="570"/>
      <c r="P20" s="570"/>
      <c r="Q20" s="570"/>
      <c r="R20" s="570">
        <v>29000</v>
      </c>
    </row>
    <row r="21" spans="1:18" ht="15" x14ac:dyDescent="0.25">
      <c r="A21" s="459"/>
      <c r="B21" s="719" t="s">
        <v>3211</v>
      </c>
      <c r="C21" s="570"/>
      <c r="D21" s="570"/>
      <c r="E21" s="570">
        <v>200000</v>
      </c>
      <c r="F21" s="570"/>
      <c r="G21" s="570"/>
      <c r="H21" s="570"/>
      <c r="I21" s="570"/>
      <c r="J21" s="570"/>
      <c r="K21" s="570"/>
      <c r="L21" s="570"/>
      <c r="M21" s="570"/>
      <c r="N21" s="571"/>
      <c r="O21" s="570"/>
      <c r="P21" s="570"/>
      <c r="Q21" s="570"/>
      <c r="R21" s="570"/>
    </row>
    <row r="22" spans="1:18" ht="15" x14ac:dyDescent="0.25">
      <c r="A22" s="459"/>
      <c r="B22" s="719" t="s">
        <v>3221</v>
      </c>
      <c r="C22" s="570"/>
      <c r="D22" s="570"/>
      <c r="E22" s="570"/>
      <c r="F22" s="570"/>
      <c r="G22" s="570"/>
      <c r="H22" s="570"/>
      <c r="I22" s="570">
        <v>1500000</v>
      </c>
      <c r="J22" s="570"/>
      <c r="K22" s="570"/>
      <c r="L22" s="570"/>
      <c r="M22" s="570"/>
      <c r="N22" s="571"/>
      <c r="O22" s="570"/>
      <c r="P22" s="570"/>
      <c r="Q22" s="570"/>
      <c r="R22" s="570"/>
    </row>
    <row r="23" spans="1:18" ht="28.5" x14ac:dyDescent="0.25">
      <c r="A23" s="459">
        <v>44933</v>
      </c>
      <c r="B23" s="611" t="s">
        <v>2628</v>
      </c>
      <c r="C23" s="570"/>
      <c r="D23" s="570"/>
      <c r="E23" s="570"/>
      <c r="F23" s="570"/>
      <c r="G23" s="570"/>
      <c r="H23" s="570"/>
      <c r="I23" s="570"/>
      <c r="J23" s="570"/>
      <c r="K23" s="570"/>
      <c r="L23" s="570"/>
      <c r="M23" s="570"/>
      <c r="N23" s="571"/>
      <c r="O23" s="570"/>
      <c r="P23" s="570">
        <f>40000*9</f>
        <v>360000</v>
      </c>
      <c r="Q23" s="570"/>
      <c r="R23" s="570"/>
    </row>
    <row r="24" spans="1:18" ht="15" x14ac:dyDescent="0.25">
      <c r="A24" s="459"/>
      <c r="B24" s="611" t="s">
        <v>3214</v>
      </c>
      <c r="C24" s="570"/>
      <c r="D24" s="570"/>
      <c r="E24" s="570"/>
      <c r="F24" s="570"/>
      <c r="G24" s="570"/>
      <c r="H24" s="570">
        <v>150000</v>
      </c>
      <c r="I24" s="570"/>
      <c r="J24" s="570"/>
      <c r="K24" s="570"/>
      <c r="L24" s="570"/>
      <c r="M24" s="570"/>
      <c r="N24" s="571"/>
      <c r="O24" s="570"/>
      <c r="P24" s="570"/>
      <c r="Q24" s="570"/>
      <c r="R24" s="570"/>
    </row>
    <row r="25" spans="1:18" s="715" customFormat="1" ht="15" x14ac:dyDescent="0.25">
      <c r="A25" s="459">
        <v>44934</v>
      </c>
      <c r="B25" s="610" t="s">
        <v>3207</v>
      </c>
      <c r="C25" s="713"/>
      <c r="D25" s="713"/>
      <c r="E25" s="713"/>
      <c r="F25" s="713"/>
      <c r="G25" s="713"/>
      <c r="H25" s="713"/>
      <c r="I25" s="713"/>
      <c r="J25" s="713"/>
      <c r="K25" s="713">
        <v>101174</v>
      </c>
      <c r="L25" s="713"/>
      <c r="M25" s="713"/>
      <c r="N25" s="714"/>
      <c r="O25" s="713"/>
      <c r="P25" s="713"/>
      <c r="Q25" s="713"/>
      <c r="R25" s="713"/>
    </row>
    <row r="26" spans="1:18" s="715" customFormat="1" ht="15" x14ac:dyDescent="0.25">
      <c r="A26" s="459"/>
      <c r="B26" s="721" t="s">
        <v>3208</v>
      </c>
      <c r="C26" s="713"/>
      <c r="D26" s="713"/>
      <c r="E26" s="713"/>
      <c r="F26" s="713"/>
      <c r="G26" s="713"/>
      <c r="H26" s="713"/>
      <c r="I26" s="713"/>
      <c r="J26" s="713"/>
      <c r="K26" s="713">
        <v>355200</v>
      </c>
      <c r="L26" s="713"/>
      <c r="M26" s="713"/>
      <c r="N26" s="714"/>
      <c r="O26" s="713"/>
      <c r="P26" s="713"/>
      <c r="Q26" s="713"/>
      <c r="R26" s="713"/>
    </row>
    <row r="27" spans="1:18" ht="15" x14ac:dyDescent="0.25">
      <c r="A27" s="459">
        <v>44935</v>
      </c>
      <c r="B27" s="569" t="s">
        <v>3210</v>
      </c>
      <c r="C27" s="570">
        <v>70000</v>
      </c>
      <c r="D27" s="570"/>
      <c r="E27" s="570"/>
      <c r="F27" s="570"/>
      <c r="G27" s="570"/>
      <c r="H27" s="570"/>
      <c r="I27" s="570"/>
      <c r="J27" s="570"/>
      <c r="K27" s="570"/>
      <c r="L27" s="570"/>
      <c r="M27" s="570"/>
      <c r="N27" s="571"/>
      <c r="O27" s="570"/>
      <c r="P27" s="570"/>
      <c r="Q27" s="570"/>
      <c r="R27" s="570"/>
    </row>
    <row r="28" spans="1:18" ht="15" x14ac:dyDescent="0.25">
      <c r="A28" s="459"/>
      <c r="B28" s="569" t="s">
        <v>3223</v>
      </c>
      <c r="C28" s="570"/>
      <c r="D28" s="570"/>
      <c r="E28" s="570"/>
      <c r="F28" s="570"/>
      <c r="G28" s="570"/>
      <c r="H28" s="570"/>
      <c r="I28" s="570">
        <v>1030000</v>
      </c>
      <c r="J28" s="570"/>
      <c r="K28" s="570"/>
      <c r="L28" s="570"/>
      <c r="M28" s="570"/>
      <c r="N28" s="571"/>
      <c r="O28" s="570"/>
      <c r="P28" s="570"/>
      <c r="Q28" s="570"/>
      <c r="R28" s="570"/>
    </row>
    <row r="29" spans="1:18" ht="15" x14ac:dyDescent="0.25">
      <c r="A29" s="459"/>
      <c r="B29" s="572" t="s">
        <v>3222</v>
      </c>
      <c r="C29" s="570"/>
      <c r="D29" s="570"/>
      <c r="E29" s="570"/>
      <c r="F29" s="570"/>
      <c r="G29" s="570"/>
      <c r="H29" s="570">
        <v>100000</v>
      </c>
      <c r="I29" s="570"/>
      <c r="J29" s="570"/>
      <c r="K29" s="570"/>
      <c r="L29" s="570"/>
      <c r="M29" s="570"/>
      <c r="N29" s="571"/>
      <c r="O29" s="570"/>
      <c r="P29" s="570"/>
      <c r="Q29" s="570"/>
      <c r="R29" s="570"/>
    </row>
    <row r="30" spans="1:18" ht="15" x14ac:dyDescent="0.25">
      <c r="A30" s="459"/>
      <c r="B30" s="572" t="s">
        <v>3212</v>
      </c>
      <c r="C30" s="570"/>
      <c r="D30" s="570"/>
      <c r="E30" s="570"/>
      <c r="F30" s="570"/>
      <c r="G30" s="570"/>
      <c r="H30" s="570">
        <v>150000</v>
      </c>
      <c r="I30" s="570"/>
      <c r="J30" s="570"/>
      <c r="K30" s="570"/>
      <c r="L30" s="570"/>
      <c r="M30" s="570"/>
      <c r="N30" s="571"/>
      <c r="O30" s="570"/>
      <c r="P30" s="570"/>
      <c r="Q30" s="570"/>
      <c r="R30" s="570"/>
    </row>
    <row r="31" spans="1:18" ht="15" x14ac:dyDescent="0.25">
      <c r="A31" s="459">
        <v>44936</v>
      </c>
      <c r="B31" s="575" t="s">
        <v>3215</v>
      </c>
      <c r="C31" s="570"/>
      <c r="D31" s="570"/>
      <c r="E31" s="570"/>
      <c r="F31" s="570"/>
      <c r="G31" s="570"/>
      <c r="H31" s="570">
        <v>121500</v>
      </c>
      <c r="I31" s="570"/>
      <c r="J31" s="570"/>
      <c r="K31" s="570"/>
      <c r="L31" s="570"/>
      <c r="M31" s="570"/>
      <c r="N31" s="571"/>
      <c r="O31" s="570"/>
      <c r="P31" s="570"/>
      <c r="Q31" s="570"/>
      <c r="R31" s="570"/>
    </row>
    <row r="32" spans="1:18" ht="15" x14ac:dyDescent="0.25">
      <c r="A32" s="459"/>
      <c r="B32" s="572" t="s">
        <v>3217</v>
      </c>
      <c r="C32" s="570"/>
      <c r="D32" s="570"/>
      <c r="E32" s="570"/>
      <c r="F32" s="570"/>
      <c r="G32" s="570">
        <v>15000</v>
      </c>
      <c r="H32" s="570"/>
      <c r="I32" s="570"/>
      <c r="J32" s="570"/>
      <c r="K32" s="570"/>
      <c r="L32" s="570"/>
      <c r="M32" s="570"/>
      <c r="N32" s="571"/>
      <c r="O32" s="570"/>
      <c r="P32" s="570"/>
      <c r="Q32" s="570"/>
      <c r="R32" s="570"/>
    </row>
    <row r="33" spans="1:18" ht="15" x14ac:dyDescent="0.25">
      <c r="A33" s="459">
        <v>44938</v>
      </c>
      <c r="B33" s="572" t="s">
        <v>3224</v>
      </c>
      <c r="C33" s="570"/>
      <c r="D33" s="570"/>
      <c r="E33" s="570"/>
      <c r="F33" s="570">
        <v>4650000</v>
      </c>
      <c r="G33" s="570"/>
      <c r="H33" s="570"/>
      <c r="I33" s="570"/>
      <c r="J33" s="570"/>
      <c r="K33" s="570"/>
      <c r="L33" s="570"/>
      <c r="M33" s="570"/>
      <c r="N33" s="571"/>
      <c r="O33" s="570"/>
      <c r="P33" s="570"/>
      <c r="Q33" s="570"/>
      <c r="R33" s="570"/>
    </row>
    <row r="34" spans="1:18" ht="15" x14ac:dyDescent="0.25">
      <c r="A34" s="459"/>
      <c r="B34" s="572" t="s">
        <v>3217</v>
      </c>
      <c r="C34" s="570"/>
      <c r="D34" s="570"/>
      <c r="E34" s="570"/>
      <c r="F34" s="570"/>
      <c r="G34" s="570">
        <v>15000</v>
      </c>
      <c r="H34" s="570"/>
      <c r="I34" s="570"/>
      <c r="J34" s="570"/>
      <c r="K34" s="570"/>
      <c r="L34" s="570"/>
      <c r="M34" s="570"/>
      <c r="N34" s="571"/>
      <c r="O34" s="570"/>
      <c r="P34" s="570"/>
      <c r="Q34" s="570"/>
      <c r="R34" s="570"/>
    </row>
    <row r="35" spans="1:18" ht="28.5" x14ac:dyDescent="0.25">
      <c r="A35" s="459">
        <v>44940</v>
      </c>
      <c r="B35" s="610" t="s">
        <v>2623</v>
      </c>
      <c r="C35" s="570"/>
      <c r="D35" s="570"/>
      <c r="E35" s="570"/>
      <c r="F35" s="570"/>
      <c r="G35" s="570"/>
      <c r="H35" s="570"/>
      <c r="I35" s="570"/>
      <c r="J35" s="570"/>
      <c r="K35" s="570"/>
      <c r="L35" s="570"/>
      <c r="M35" s="570"/>
      <c r="N35" s="571"/>
      <c r="O35" s="187">
        <f>((110000*12)-10000)+(110000*12)+(110000*12)+(110000*12)+(110000*12)</f>
        <v>6590000</v>
      </c>
      <c r="P35" s="570"/>
      <c r="Q35" s="570"/>
      <c r="R35" s="570"/>
    </row>
    <row r="36" spans="1:18" ht="28.5" x14ac:dyDescent="0.25">
      <c r="A36" s="459"/>
      <c r="B36" s="611" t="s">
        <v>2629</v>
      </c>
      <c r="C36" s="570"/>
      <c r="D36" s="570"/>
      <c r="E36" s="570"/>
      <c r="F36" s="570"/>
      <c r="G36" s="570"/>
      <c r="H36" s="570"/>
      <c r="I36" s="570"/>
      <c r="J36" s="570"/>
      <c r="K36" s="570"/>
      <c r="L36" s="570"/>
      <c r="M36" s="570"/>
      <c r="N36" s="571"/>
      <c r="O36" s="570"/>
      <c r="P36" s="570">
        <f>40000*9</f>
        <v>360000</v>
      </c>
      <c r="Q36" s="570"/>
      <c r="R36" s="570"/>
    </row>
    <row r="37" spans="1:18" ht="15" x14ac:dyDescent="0.25">
      <c r="A37" s="459">
        <v>44942</v>
      </c>
      <c r="B37" s="572" t="s">
        <v>3210</v>
      </c>
      <c r="C37" s="570">
        <v>65500</v>
      </c>
      <c r="D37" s="570"/>
      <c r="E37" s="570"/>
      <c r="F37" s="570"/>
      <c r="G37" s="570"/>
      <c r="H37" s="570"/>
      <c r="I37" s="570"/>
      <c r="J37" s="570"/>
      <c r="K37" s="570"/>
      <c r="L37" s="570"/>
      <c r="M37" s="570"/>
      <c r="N37" s="571"/>
      <c r="O37" s="570"/>
      <c r="P37" s="570"/>
      <c r="Q37" s="570"/>
      <c r="R37" s="570"/>
    </row>
    <row r="38" spans="1:18" ht="15" x14ac:dyDescent="0.25">
      <c r="A38" s="459"/>
      <c r="B38" s="572" t="s">
        <v>3225</v>
      </c>
      <c r="C38" s="570"/>
      <c r="D38" s="570"/>
      <c r="E38" s="570"/>
      <c r="F38" s="570"/>
      <c r="G38" s="570">
        <v>200000</v>
      </c>
      <c r="H38" s="570"/>
      <c r="I38" s="570"/>
      <c r="J38" s="570"/>
      <c r="K38" s="570"/>
      <c r="L38" s="570"/>
      <c r="M38" s="570"/>
      <c r="N38" s="571"/>
      <c r="O38" s="570"/>
      <c r="P38" s="570"/>
      <c r="Q38" s="570"/>
      <c r="R38" s="570"/>
    </row>
    <row r="39" spans="1:18" ht="15" x14ac:dyDescent="0.25">
      <c r="A39" s="459"/>
      <c r="B39" s="572" t="s">
        <v>3226</v>
      </c>
      <c r="C39" s="570"/>
      <c r="D39" s="570"/>
      <c r="E39" s="570"/>
      <c r="F39" s="570"/>
      <c r="G39" s="570"/>
      <c r="H39" s="570">
        <v>250000</v>
      </c>
      <c r="I39" s="570"/>
      <c r="J39" s="570"/>
      <c r="K39" s="570"/>
      <c r="L39" s="570"/>
      <c r="M39" s="570"/>
      <c r="N39" s="571"/>
      <c r="O39" s="570"/>
      <c r="P39" s="570"/>
      <c r="Q39" s="570"/>
      <c r="R39" s="570"/>
    </row>
    <row r="40" spans="1:18" ht="15" x14ac:dyDescent="0.25">
      <c r="A40" s="459">
        <v>44944</v>
      </c>
      <c r="B40" s="572" t="s">
        <v>3227</v>
      </c>
      <c r="C40" s="570"/>
      <c r="D40" s="570"/>
      <c r="E40" s="570">
        <v>35000</v>
      </c>
      <c r="F40" s="570"/>
      <c r="G40" s="570"/>
      <c r="H40" s="570"/>
      <c r="I40" s="570"/>
      <c r="J40" s="570"/>
      <c r="K40" s="570"/>
      <c r="L40" s="570"/>
      <c r="M40" s="570"/>
      <c r="N40" s="571"/>
      <c r="O40" s="570"/>
      <c r="P40" s="570"/>
      <c r="Q40" s="570"/>
      <c r="R40" s="570"/>
    </row>
    <row r="41" spans="1:18" ht="15" x14ac:dyDescent="0.25">
      <c r="A41" s="459">
        <v>44945</v>
      </c>
      <c r="B41" s="572" t="s">
        <v>3228</v>
      </c>
      <c r="C41" s="570"/>
      <c r="D41" s="570"/>
      <c r="E41" s="570"/>
      <c r="F41" s="570"/>
      <c r="G41" s="570"/>
      <c r="H41" s="570"/>
      <c r="I41" s="570">
        <v>750000</v>
      </c>
      <c r="J41" s="570"/>
      <c r="K41" s="570"/>
      <c r="L41" s="570"/>
      <c r="M41" s="570"/>
      <c r="N41" s="571"/>
      <c r="O41" s="570"/>
      <c r="P41" s="570"/>
      <c r="Q41" s="570"/>
      <c r="R41" s="570"/>
    </row>
    <row r="42" spans="1:18" ht="15" x14ac:dyDescent="0.25">
      <c r="A42" s="459">
        <v>44946</v>
      </c>
      <c r="B42" s="572" t="s">
        <v>3229</v>
      </c>
      <c r="C42" s="570"/>
      <c r="D42" s="570"/>
      <c r="E42" s="570"/>
      <c r="F42" s="570"/>
      <c r="G42" s="570"/>
      <c r="H42" s="570"/>
      <c r="I42" s="570">
        <v>1900000</v>
      </c>
      <c r="J42" s="570"/>
      <c r="K42" s="570"/>
      <c r="L42" s="570"/>
      <c r="M42" s="570"/>
      <c r="N42" s="571"/>
      <c r="O42" s="570"/>
      <c r="P42" s="570"/>
      <c r="Q42" s="570"/>
      <c r="R42" s="570"/>
    </row>
    <row r="43" spans="1:18" ht="15" x14ac:dyDescent="0.25">
      <c r="A43" s="459"/>
      <c r="B43" s="575" t="s">
        <v>3230</v>
      </c>
      <c r="C43" s="570"/>
      <c r="D43" s="570"/>
      <c r="E43" s="570"/>
      <c r="F43" s="570"/>
      <c r="G43" s="570"/>
      <c r="H43" s="570"/>
      <c r="I43" s="570">
        <v>1079000</v>
      </c>
      <c r="J43" s="570"/>
      <c r="K43" s="570"/>
      <c r="L43" s="570"/>
      <c r="M43" s="570"/>
      <c r="N43" s="571"/>
      <c r="O43" s="570"/>
      <c r="P43" s="570"/>
      <c r="Q43" s="570"/>
      <c r="R43" s="570"/>
    </row>
    <row r="44" spans="1:18" ht="28.5" x14ac:dyDescent="0.25">
      <c r="A44" s="459">
        <v>44947</v>
      </c>
      <c r="B44" s="611" t="s">
        <v>2630</v>
      </c>
      <c r="C44" s="570"/>
      <c r="D44" s="570"/>
      <c r="E44" s="570"/>
      <c r="F44" s="570"/>
      <c r="G44" s="570"/>
      <c r="H44" s="570"/>
      <c r="I44" s="570"/>
      <c r="J44" s="570"/>
      <c r="K44" s="570"/>
      <c r="L44" s="570"/>
      <c r="M44" s="570"/>
      <c r="N44" s="571"/>
      <c r="O44" s="570"/>
      <c r="P44" s="570">
        <f>40000*8</f>
        <v>320000</v>
      </c>
      <c r="Q44" s="570"/>
      <c r="R44" s="570"/>
    </row>
    <row r="45" spans="1:18" ht="15" x14ac:dyDescent="0.25">
      <c r="A45" s="459"/>
      <c r="B45" s="573" t="s">
        <v>3218</v>
      </c>
      <c r="C45" s="570"/>
      <c r="D45" s="570"/>
      <c r="E45" s="570">
        <v>215000</v>
      </c>
      <c r="F45" s="570"/>
      <c r="G45" s="570"/>
      <c r="H45" s="570"/>
      <c r="I45" s="570"/>
      <c r="J45" s="570"/>
      <c r="K45" s="570"/>
      <c r="L45" s="570"/>
      <c r="M45" s="570"/>
      <c r="N45" s="571"/>
      <c r="O45" s="570"/>
      <c r="P45" s="570"/>
      <c r="Q45" s="570"/>
      <c r="R45" s="570"/>
    </row>
    <row r="46" spans="1:18" ht="15" x14ac:dyDescent="0.25">
      <c r="A46" s="459">
        <v>44950</v>
      </c>
      <c r="B46" s="573" t="s">
        <v>3210</v>
      </c>
      <c r="C46" s="570">
        <v>65600</v>
      </c>
      <c r="D46" s="570"/>
      <c r="E46" s="570"/>
      <c r="F46" s="570"/>
      <c r="G46" s="570"/>
      <c r="H46" s="570"/>
      <c r="I46" s="570"/>
      <c r="J46" s="570"/>
      <c r="K46" s="570"/>
      <c r="L46" s="570"/>
      <c r="M46" s="570"/>
      <c r="N46" s="571"/>
      <c r="O46" s="570"/>
      <c r="P46" s="570"/>
      <c r="Q46" s="570"/>
      <c r="R46" s="570"/>
    </row>
    <row r="47" spans="1:18" ht="15" x14ac:dyDescent="0.25">
      <c r="A47" s="459"/>
      <c r="B47" s="572" t="s">
        <v>3217</v>
      </c>
      <c r="C47" s="570"/>
      <c r="D47" s="570"/>
      <c r="E47" s="570"/>
      <c r="F47" s="570"/>
      <c r="G47" s="570">
        <v>15000</v>
      </c>
      <c r="H47" s="570"/>
      <c r="I47" s="570"/>
      <c r="J47" s="570"/>
      <c r="K47" s="570"/>
      <c r="L47" s="570"/>
      <c r="M47" s="570"/>
      <c r="N47" s="571"/>
      <c r="O47" s="570"/>
      <c r="P47" s="570"/>
      <c r="Q47" s="570"/>
      <c r="R47" s="570"/>
    </row>
    <row r="48" spans="1:18" ht="15" x14ac:dyDescent="0.25">
      <c r="A48" s="459">
        <v>44951</v>
      </c>
      <c r="B48" s="573" t="s">
        <v>3231</v>
      </c>
      <c r="C48" s="570"/>
      <c r="D48" s="570"/>
      <c r="E48" s="570"/>
      <c r="F48" s="570">
        <v>160000</v>
      </c>
      <c r="G48" s="570"/>
      <c r="H48" s="570"/>
      <c r="I48" s="570"/>
      <c r="J48" s="570"/>
      <c r="K48" s="570"/>
      <c r="L48" s="570"/>
      <c r="M48" s="570"/>
      <c r="N48" s="571"/>
      <c r="O48" s="570"/>
      <c r="P48" s="570"/>
      <c r="Q48" s="570"/>
      <c r="R48" s="570"/>
    </row>
    <row r="49" spans="1:18" ht="15" x14ac:dyDescent="0.25">
      <c r="A49" s="459">
        <v>44952</v>
      </c>
      <c r="B49" s="569" t="s">
        <v>3232</v>
      </c>
      <c r="C49" s="570"/>
      <c r="D49" s="570"/>
      <c r="E49" s="570">
        <v>25000</v>
      </c>
      <c r="F49" s="570"/>
      <c r="G49" s="570"/>
      <c r="H49" s="570"/>
      <c r="I49" s="570"/>
      <c r="J49" s="570"/>
      <c r="K49" s="570"/>
      <c r="L49" s="570"/>
      <c r="M49" s="570"/>
      <c r="N49" s="571"/>
      <c r="O49" s="570"/>
      <c r="P49" s="570"/>
      <c r="Q49" s="570"/>
      <c r="R49" s="570"/>
    </row>
    <row r="50" spans="1:18" ht="15" x14ac:dyDescent="0.25">
      <c r="A50" s="459">
        <v>44953</v>
      </c>
      <c r="B50" s="720" t="s">
        <v>3233</v>
      </c>
      <c r="C50" s="570"/>
      <c r="D50" s="570"/>
      <c r="E50" s="570"/>
      <c r="F50" s="570"/>
      <c r="G50" s="570"/>
      <c r="H50" s="570"/>
      <c r="I50" s="570"/>
      <c r="J50" s="570"/>
      <c r="K50" s="570"/>
      <c r="L50" s="570">
        <f>4491500/2</f>
        <v>2245750</v>
      </c>
      <c r="M50" s="570"/>
      <c r="N50" s="571"/>
      <c r="O50" s="570"/>
      <c r="P50" s="570"/>
      <c r="Q50" s="570"/>
      <c r="R50" s="570"/>
    </row>
    <row r="51" spans="1:18" ht="15" x14ac:dyDescent="0.25">
      <c r="A51" s="459"/>
      <c r="B51" s="720" t="s">
        <v>3234</v>
      </c>
      <c r="C51" s="570"/>
      <c r="D51" s="570"/>
      <c r="E51" s="570"/>
      <c r="F51" s="570"/>
      <c r="G51" s="570"/>
      <c r="H51" s="570"/>
      <c r="I51" s="570"/>
      <c r="J51" s="570"/>
      <c r="K51" s="570"/>
      <c r="L51" s="570">
        <f>2867500/2</f>
        <v>1433750</v>
      </c>
      <c r="M51" s="570"/>
      <c r="N51" s="571"/>
      <c r="O51" s="570"/>
      <c r="P51" s="570"/>
      <c r="Q51" s="570"/>
      <c r="R51" s="570"/>
    </row>
    <row r="52" spans="1:18" ht="15" x14ac:dyDescent="0.25">
      <c r="A52" s="459"/>
      <c r="B52" s="720" t="s">
        <v>3235</v>
      </c>
      <c r="C52" s="570"/>
      <c r="D52" s="570"/>
      <c r="E52" s="570"/>
      <c r="F52" s="570"/>
      <c r="G52" s="570"/>
      <c r="H52" s="570"/>
      <c r="I52" s="570"/>
      <c r="J52" s="570"/>
      <c r="K52" s="570"/>
      <c r="L52" s="570">
        <f>2466800/2</f>
        <v>1233400</v>
      </c>
      <c r="M52" s="570"/>
      <c r="N52" s="571"/>
      <c r="O52" s="570"/>
      <c r="P52" s="570"/>
      <c r="Q52" s="570"/>
      <c r="R52" s="570"/>
    </row>
    <row r="53" spans="1:18" ht="28.5" x14ac:dyDescent="0.25">
      <c r="A53" s="459">
        <v>44954</v>
      </c>
      <c r="B53" s="610" t="s">
        <v>2624</v>
      </c>
      <c r="C53" s="570"/>
      <c r="D53" s="570"/>
      <c r="E53" s="570"/>
      <c r="F53" s="570"/>
      <c r="G53" s="570"/>
      <c r="H53" s="570"/>
      <c r="I53" s="570"/>
      <c r="J53" s="570"/>
      <c r="K53" s="570"/>
      <c r="L53" s="570"/>
      <c r="M53" s="570"/>
      <c r="N53" s="571"/>
      <c r="O53" s="570">
        <f>((110000*12)-10000)+(110000*12)+(110000*12)+(110000*12)+((110000*12)-(110000*2))</f>
        <v>6370000</v>
      </c>
      <c r="P53" s="570"/>
      <c r="Q53" s="570"/>
      <c r="R53" s="570"/>
    </row>
    <row r="54" spans="1:18" ht="28.5" x14ac:dyDescent="0.25">
      <c r="A54" s="459"/>
      <c r="B54" s="611" t="s">
        <v>2631</v>
      </c>
      <c r="C54" s="570"/>
      <c r="D54" s="570"/>
      <c r="E54" s="570"/>
      <c r="F54" s="570"/>
      <c r="G54" s="570"/>
      <c r="H54" s="570"/>
      <c r="I54" s="570"/>
      <c r="J54" s="570"/>
      <c r="K54" s="570"/>
      <c r="L54" s="570"/>
      <c r="M54" s="570"/>
      <c r="N54" s="571"/>
      <c r="O54" s="570"/>
      <c r="P54" s="570">
        <f>40000*9</f>
        <v>360000</v>
      </c>
      <c r="Q54" s="570"/>
      <c r="R54" s="570"/>
    </row>
    <row r="55" spans="1:18" ht="15" x14ac:dyDescent="0.25">
      <c r="A55" s="459"/>
      <c r="B55" s="611" t="s">
        <v>3236</v>
      </c>
      <c r="C55" s="570"/>
      <c r="D55" s="570"/>
      <c r="E55" s="570"/>
      <c r="F55" s="570"/>
      <c r="G55" s="570"/>
      <c r="H55" s="570"/>
      <c r="I55" s="570">
        <v>2150000</v>
      </c>
      <c r="J55" s="570"/>
      <c r="K55" s="570"/>
      <c r="L55" s="570"/>
      <c r="M55" s="570"/>
      <c r="N55" s="571"/>
      <c r="O55" s="570"/>
      <c r="P55" s="570"/>
      <c r="Q55" s="570"/>
      <c r="R55" s="570"/>
    </row>
    <row r="56" spans="1:18" ht="15" x14ac:dyDescent="0.25">
      <c r="A56" s="459">
        <v>44956</v>
      </c>
      <c r="B56" s="572" t="s">
        <v>3210</v>
      </c>
      <c r="C56" s="570">
        <v>64400</v>
      </c>
      <c r="D56" s="570"/>
      <c r="E56" s="570"/>
      <c r="F56" s="570"/>
      <c r="G56" s="570"/>
      <c r="H56" s="570"/>
      <c r="I56" s="570"/>
      <c r="J56" s="570"/>
      <c r="K56" s="570"/>
      <c r="L56" s="570"/>
      <c r="M56" s="570"/>
      <c r="N56" s="571"/>
      <c r="O56" s="570"/>
      <c r="P56" s="570"/>
      <c r="Q56" s="570"/>
      <c r="R56" s="570"/>
    </row>
    <row r="57" spans="1:18" ht="15" x14ac:dyDescent="0.25">
      <c r="A57" s="459">
        <v>44957</v>
      </c>
      <c r="B57" s="572" t="s">
        <v>3238</v>
      </c>
      <c r="C57" s="570">
        <v>400000</v>
      </c>
      <c r="D57" s="570"/>
      <c r="E57" s="570"/>
      <c r="F57" s="570"/>
      <c r="G57" s="570"/>
      <c r="H57" s="570"/>
      <c r="I57" s="570"/>
      <c r="J57" s="570"/>
      <c r="K57" s="570"/>
      <c r="L57" s="570"/>
      <c r="M57" s="570"/>
      <c r="N57" s="571"/>
      <c r="O57" s="570"/>
      <c r="P57" s="570"/>
      <c r="Q57" s="570"/>
      <c r="R57" s="570"/>
    </row>
    <row r="58" spans="1:18" ht="15" x14ac:dyDescent="0.25">
      <c r="A58" s="459"/>
      <c r="B58" s="610" t="s">
        <v>2625</v>
      </c>
      <c r="C58" s="570"/>
      <c r="D58" s="570"/>
      <c r="E58" s="570"/>
      <c r="F58" s="570"/>
      <c r="G58" s="570"/>
      <c r="H58" s="570"/>
      <c r="I58" s="570"/>
      <c r="J58" s="570"/>
      <c r="K58" s="570"/>
      <c r="L58" s="570"/>
      <c r="M58" s="570"/>
      <c r="N58" s="571"/>
      <c r="O58" s="570">
        <v>22890000</v>
      </c>
      <c r="P58" s="570"/>
      <c r="Q58" s="570"/>
      <c r="R58" s="570"/>
    </row>
    <row r="59" spans="1:18" ht="15" x14ac:dyDescent="0.25">
      <c r="A59" s="459"/>
      <c r="B59" s="610" t="s">
        <v>2626</v>
      </c>
      <c r="C59" s="570"/>
      <c r="D59" s="570"/>
      <c r="E59" s="570"/>
      <c r="F59" s="570"/>
      <c r="G59" s="570"/>
      <c r="H59" s="570"/>
      <c r="I59" s="570"/>
      <c r="J59" s="570"/>
      <c r="K59" s="570"/>
      <c r="L59" s="570"/>
      <c r="M59" s="570">
        <v>5000000</v>
      </c>
      <c r="N59" s="571"/>
      <c r="O59" s="570"/>
      <c r="P59" s="570"/>
      <c r="Q59" s="570"/>
      <c r="R59" s="570"/>
    </row>
    <row r="60" spans="1:18" ht="15" x14ac:dyDescent="0.25">
      <c r="A60" s="535"/>
      <c r="B60" s="610" t="s">
        <v>2627</v>
      </c>
      <c r="C60" s="570"/>
      <c r="D60" s="570"/>
      <c r="E60" s="570"/>
      <c r="F60" s="570"/>
      <c r="G60" s="570"/>
      <c r="H60" s="570"/>
      <c r="I60" s="570"/>
      <c r="J60" s="570"/>
      <c r="K60" s="570"/>
      <c r="L60" s="570"/>
      <c r="M60" s="570"/>
      <c r="N60" s="571"/>
      <c r="O60" s="570"/>
      <c r="P60" s="570">
        <f>200000*5</f>
        <v>1000000</v>
      </c>
      <c r="Q60" s="570"/>
      <c r="R60" s="570"/>
    </row>
    <row r="61" spans="1:18" ht="16.5" x14ac:dyDescent="0.25">
      <c r="A61" s="462"/>
      <c r="B61" s="577" t="s">
        <v>38</v>
      </c>
      <c r="C61" s="578">
        <f t="shared" ref="C61:R61" si="0">SUM(C8:C60)</f>
        <v>735500</v>
      </c>
      <c r="D61" s="578">
        <f t="shared" si="0"/>
        <v>65000</v>
      </c>
      <c r="E61" s="578">
        <f t="shared" si="0"/>
        <v>825000</v>
      </c>
      <c r="F61" s="578">
        <f t="shared" si="0"/>
        <v>5806500</v>
      </c>
      <c r="G61" s="578">
        <f t="shared" si="0"/>
        <v>260000</v>
      </c>
      <c r="H61" s="578">
        <f t="shared" si="0"/>
        <v>1341500</v>
      </c>
      <c r="I61" s="578">
        <f t="shared" si="0"/>
        <v>10059000</v>
      </c>
      <c r="J61" s="578">
        <f t="shared" si="0"/>
        <v>0</v>
      </c>
      <c r="K61" s="578">
        <f t="shared" si="0"/>
        <v>456374</v>
      </c>
      <c r="L61" s="578">
        <f t="shared" si="0"/>
        <v>4912900</v>
      </c>
      <c r="M61" s="578">
        <f t="shared" si="0"/>
        <v>5000000</v>
      </c>
      <c r="N61" s="578">
        <f t="shared" si="0"/>
        <v>1995821</v>
      </c>
      <c r="O61" s="578">
        <f t="shared" si="0"/>
        <v>35850000</v>
      </c>
      <c r="P61" s="578">
        <f t="shared" si="0"/>
        <v>2400000</v>
      </c>
      <c r="Q61" s="578">
        <f t="shared" si="0"/>
        <v>0</v>
      </c>
      <c r="R61" s="578">
        <f t="shared" si="0"/>
        <v>29000</v>
      </c>
    </row>
    <row r="62" spans="1:18" ht="16.5" x14ac:dyDescent="0.25">
      <c r="A62" s="461" t="s">
        <v>2550</v>
      </c>
      <c r="B62" s="579"/>
      <c r="C62" s="580"/>
      <c r="D62" s="580"/>
      <c r="E62" s="580"/>
      <c r="F62" s="580"/>
      <c r="G62" s="580"/>
      <c r="H62" s="580"/>
      <c r="I62" s="580"/>
      <c r="J62" s="580"/>
      <c r="K62" s="580"/>
      <c r="L62" s="580"/>
      <c r="M62" s="580"/>
      <c r="N62" s="581"/>
      <c r="O62" s="580"/>
      <c r="P62" s="580"/>
      <c r="Q62" s="582"/>
      <c r="R62" s="582"/>
    </row>
    <row r="63" spans="1:18" ht="15" x14ac:dyDescent="0.25">
      <c r="A63" s="458">
        <v>44958</v>
      </c>
      <c r="B63" s="569" t="s">
        <v>3252</v>
      </c>
      <c r="C63" s="583"/>
      <c r="D63" s="583"/>
      <c r="E63" s="583"/>
      <c r="F63" s="583"/>
      <c r="G63" s="583"/>
      <c r="H63" s="583">
        <v>45000</v>
      </c>
      <c r="I63" s="583"/>
      <c r="J63" s="583"/>
      <c r="K63" s="583"/>
      <c r="L63" s="583"/>
      <c r="M63" s="583"/>
      <c r="N63" s="584"/>
      <c r="O63" s="583"/>
      <c r="P63" s="583"/>
      <c r="Q63" s="583"/>
      <c r="R63" s="583"/>
    </row>
    <row r="64" spans="1:18" ht="15" x14ac:dyDescent="0.25">
      <c r="A64" s="459"/>
      <c r="B64" s="572" t="s">
        <v>3253</v>
      </c>
      <c r="C64" s="570"/>
      <c r="D64" s="570"/>
      <c r="E64" s="570"/>
      <c r="F64" s="570"/>
      <c r="G64" s="570"/>
      <c r="H64" s="570"/>
      <c r="I64" s="570"/>
      <c r="J64" s="570"/>
      <c r="K64" s="570"/>
      <c r="L64" s="570"/>
      <c r="M64" s="570"/>
      <c r="N64" s="571"/>
      <c r="O64" s="570"/>
      <c r="P64" s="570"/>
      <c r="Q64" s="570"/>
      <c r="R64" s="570"/>
    </row>
    <row r="65" spans="1:18" ht="15" x14ac:dyDescent="0.25">
      <c r="A65" s="459"/>
      <c r="B65" s="572" t="s">
        <v>3254</v>
      </c>
      <c r="C65" s="570"/>
      <c r="D65" s="570"/>
      <c r="E65" s="570"/>
      <c r="F65" s="570"/>
      <c r="G65" s="570"/>
      <c r="H65" s="570"/>
      <c r="I65" s="570">
        <v>420000</v>
      </c>
      <c r="J65" s="570"/>
      <c r="K65" s="570"/>
      <c r="L65" s="570"/>
      <c r="M65" s="570"/>
      <c r="N65" s="571"/>
      <c r="O65" s="570"/>
      <c r="P65" s="570"/>
      <c r="Q65" s="570"/>
      <c r="R65" s="570"/>
    </row>
    <row r="66" spans="1:18" ht="15" x14ac:dyDescent="0.25">
      <c r="A66" s="459"/>
      <c r="B66" s="572" t="s">
        <v>3255</v>
      </c>
      <c r="C66" s="570"/>
      <c r="D66" s="570"/>
      <c r="E66" s="570"/>
      <c r="F66" s="570"/>
      <c r="G66" s="570"/>
      <c r="H66" s="570"/>
      <c r="I66" s="570">
        <v>610000</v>
      </c>
      <c r="J66" s="570"/>
      <c r="K66" s="570"/>
      <c r="L66" s="570"/>
      <c r="M66" s="570"/>
      <c r="N66" s="571"/>
      <c r="O66" s="570"/>
      <c r="P66" s="570"/>
      <c r="Q66" s="570"/>
      <c r="R66" s="570"/>
    </row>
    <row r="67" spans="1:18" ht="15" x14ac:dyDescent="0.25">
      <c r="A67" s="459">
        <v>44959</v>
      </c>
      <c r="B67" s="569" t="s">
        <v>3240</v>
      </c>
      <c r="C67" s="583">
        <v>485000</v>
      </c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4"/>
      <c r="O67" s="583"/>
      <c r="P67" s="583"/>
      <c r="Q67" s="583"/>
      <c r="R67" s="583"/>
    </row>
    <row r="68" spans="1:18" ht="15" x14ac:dyDescent="0.25">
      <c r="A68" s="459"/>
      <c r="B68" s="572" t="s">
        <v>3227</v>
      </c>
      <c r="C68" s="570"/>
      <c r="D68" s="570"/>
      <c r="E68" s="570">
        <v>30000</v>
      </c>
      <c r="F68" s="570"/>
      <c r="G68" s="570"/>
      <c r="H68" s="570"/>
      <c r="I68" s="570"/>
      <c r="J68" s="570"/>
      <c r="K68" s="570"/>
      <c r="L68" s="570"/>
      <c r="M68" s="570"/>
      <c r="N68" s="571"/>
      <c r="O68" s="570"/>
      <c r="P68" s="570"/>
      <c r="Q68" s="570"/>
      <c r="R68" s="570"/>
    </row>
    <row r="69" spans="1:18" ht="15" x14ac:dyDescent="0.25">
      <c r="A69" s="459"/>
      <c r="B69" s="572" t="s">
        <v>3212</v>
      </c>
      <c r="C69" s="570"/>
      <c r="D69" s="570"/>
      <c r="E69" s="570"/>
      <c r="F69" s="570"/>
      <c r="G69" s="570"/>
      <c r="H69" s="570">
        <v>200000</v>
      </c>
      <c r="I69" s="570"/>
      <c r="J69" s="570"/>
      <c r="K69" s="570"/>
      <c r="L69" s="570"/>
      <c r="M69" s="570"/>
      <c r="N69" s="571"/>
      <c r="O69" s="570"/>
      <c r="P69" s="570"/>
      <c r="Q69" s="570"/>
      <c r="R69" s="570"/>
    </row>
    <row r="70" spans="1:18" ht="15" x14ac:dyDescent="0.25">
      <c r="A70" s="459">
        <v>44960</v>
      </c>
      <c r="B70" s="572" t="s">
        <v>3224</v>
      </c>
      <c r="C70" s="570"/>
      <c r="D70" s="570"/>
      <c r="E70" s="570"/>
      <c r="F70" s="570">
        <v>2010000</v>
      </c>
      <c r="G70" s="570"/>
      <c r="H70" s="570"/>
      <c r="I70" s="570"/>
      <c r="J70" s="570"/>
      <c r="K70" s="570"/>
      <c r="L70" s="570"/>
      <c r="M70" s="570"/>
      <c r="N70" s="571"/>
      <c r="O70" s="570"/>
      <c r="P70" s="570"/>
      <c r="Q70" s="570"/>
      <c r="R70" s="570"/>
    </row>
    <row r="71" spans="1:18" ht="15" x14ac:dyDescent="0.25">
      <c r="A71" s="459"/>
      <c r="B71" s="572" t="s">
        <v>3217</v>
      </c>
      <c r="C71" s="570"/>
      <c r="D71" s="570"/>
      <c r="E71" s="570"/>
      <c r="F71" s="570"/>
      <c r="G71" s="570">
        <v>15000</v>
      </c>
      <c r="H71" s="570"/>
      <c r="I71" s="570"/>
      <c r="J71" s="570"/>
      <c r="K71" s="570"/>
      <c r="L71" s="570"/>
      <c r="M71" s="570"/>
      <c r="N71" s="571"/>
      <c r="O71" s="570"/>
      <c r="P71" s="570"/>
      <c r="Q71" s="570"/>
      <c r="R71" s="570"/>
    </row>
    <row r="72" spans="1:18" ht="28.5" x14ac:dyDescent="0.25">
      <c r="A72" s="459">
        <v>44961</v>
      </c>
      <c r="B72" s="611" t="s">
        <v>3201</v>
      </c>
      <c r="C72" s="570"/>
      <c r="D72" s="570"/>
      <c r="E72" s="570"/>
      <c r="F72" s="570"/>
      <c r="G72" s="570"/>
      <c r="H72" s="570"/>
      <c r="I72" s="570"/>
      <c r="J72" s="570"/>
      <c r="K72" s="570"/>
      <c r="L72" s="570"/>
      <c r="M72" s="570"/>
      <c r="N72" s="571"/>
      <c r="O72" s="570"/>
      <c r="P72" s="189">
        <f>40000*9</f>
        <v>360000</v>
      </c>
      <c r="Q72" s="570"/>
      <c r="R72" s="570"/>
    </row>
    <row r="73" spans="1:18" ht="15" x14ac:dyDescent="0.25">
      <c r="A73" s="459"/>
      <c r="B73" s="572" t="s">
        <v>3241</v>
      </c>
      <c r="C73" s="570"/>
      <c r="D73" s="570"/>
      <c r="E73" s="570"/>
      <c r="F73" s="570"/>
      <c r="G73" s="570"/>
      <c r="H73" s="570"/>
      <c r="I73" s="570">
        <v>820000</v>
      </c>
      <c r="J73" s="570"/>
      <c r="K73" s="570"/>
      <c r="L73" s="570"/>
      <c r="M73" s="570"/>
      <c r="N73" s="571"/>
      <c r="O73" s="570"/>
      <c r="P73" s="570"/>
      <c r="Q73" s="570"/>
      <c r="R73" s="570"/>
    </row>
    <row r="74" spans="1:18" ht="15" x14ac:dyDescent="0.25">
      <c r="A74" s="459"/>
      <c r="B74" s="574" t="s">
        <v>3214</v>
      </c>
      <c r="C74" s="570"/>
      <c r="D74" s="570"/>
      <c r="E74" s="570"/>
      <c r="F74" s="570"/>
      <c r="G74" s="570"/>
      <c r="H74" s="570">
        <v>250000</v>
      </c>
      <c r="I74" s="570"/>
      <c r="J74" s="570"/>
      <c r="K74" s="570"/>
      <c r="L74" s="570"/>
      <c r="M74" s="570"/>
      <c r="N74" s="571"/>
      <c r="O74" s="570"/>
      <c r="P74" s="570"/>
      <c r="Q74" s="570"/>
      <c r="R74" s="570"/>
    </row>
    <row r="75" spans="1:18" s="715" customFormat="1" ht="15" x14ac:dyDescent="0.25">
      <c r="A75" s="717">
        <v>44962</v>
      </c>
      <c r="B75" s="610" t="s">
        <v>4143</v>
      </c>
      <c r="C75" s="713"/>
      <c r="D75" s="713"/>
      <c r="E75" s="713"/>
      <c r="F75" s="713"/>
      <c r="G75" s="713"/>
      <c r="H75" s="713"/>
      <c r="I75" s="713"/>
      <c r="J75" s="713"/>
      <c r="K75" s="713"/>
      <c r="L75" s="713"/>
      <c r="M75" s="713"/>
      <c r="N75" s="714">
        <v>1995821</v>
      </c>
      <c r="O75" s="713"/>
      <c r="P75" s="713"/>
      <c r="Q75" s="713"/>
      <c r="R75" s="713"/>
    </row>
    <row r="76" spans="1:18" ht="15" x14ac:dyDescent="0.25">
      <c r="A76" s="459">
        <v>44963</v>
      </c>
      <c r="B76" s="574" t="s">
        <v>3210</v>
      </c>
      <c r="C76" s="570">
        <v>64400</v>
      </c>
      <c r="D76" s="570"/>
      <c r="E76" s="570"/>
      <c r="F76" s="570"/>
      <c r="G76" s="570"/>
      <c r="H76" s="570"/>
      <c r="I76" s="570"/>
      <c r="J76" s="570"/>
      <c r="K76" s="570"/>
      <c r="L76" s="570"/>
      <c r="M76" s="570"/>
      <c r="N76" s="571"/>
      <c r="O76" s="570"/>
      <c r="P76" s="570"/>
      <c r="Q76" s="570"/>
      <c r="R76" s="570"/>
    </row>
    <row r="77" spans="1:18" ht="15" x14ac:dyDescent="0.25">
      <c r="A77" s="459"/>
      <c r="B77" s="572" t="s">
        <v>3231</v>
      </c>
      <c r="C77" s="570"/>
      <c r="D77" s="570"/>
      <c r="E77" s="570"/>
      <c r="F77" s="570">
        <v>160000</v>
      </c>
      <c r="G77" s="570"/>
      <c r="H77" s="570"/>
      <c r="I77" s="570"/>
      <c r="J77" s="570"/>
      <c r="K77" s="570"/>
      <c r="L77" s="570"/>
      <c r="M77" s="570"/>
      <c r="N77" s="571"/>
      <c r="O77" s="570"/>
      <c r="P77" s="570"/>
      <c r="Q77" s="570"/>
      <c r="R77" s="570"/>
    </row>
    <row r="78" spans="1:18" ht="15" x14ac:dyDescent="0.25">
      <c r="A78" s="459"/>
      <c r="B78" s="572" t="s">
        <v>3250</v>
      </c>
      <c r="C78" s="570"/>
      <c r="D78" s="570"/>
      <c r="E78" s="570"/>
      <c r="F78" s="570"/>
      <c r="G78" s="570"/>
      <c r="H78" s="570"/>
      <c r="I78" s="570">
        <v>479000</v>
      </c>
      <c r="J78" s="570"/>
      <c r="K78" s="570"/>
      <c r="L78" s="570"/>
      <c r="M78" s="570"/>
      <c r="N78" s="571"/>
      <c r="O78" s="570"/>
      <c r="P78" s="570"/>
      <c r="Q78" s="570"/>
      <c r="R78" s="570"/>
    </row>
    <row r="79" spans="1:18" s="715" customFormat="1" ht="15" x14ac:dyDescent="0.25">
      <c r="A79" s="459">
        <v>44965</v>
      </c>
      <c r="B79" s="610" t="s">
        <v>3207</v>
      </c>
      <c r="C79" s="713"/>
      <c r="D79" s="713"/>
      <c r="E79" s="713"/>
      <c r="F79" s="713"/>
      <c r="G79" s="713"/>
      <c r="H79" s="713"/>
      <c r="I79" s="713"/>
      <c r="J79" s="713"/>
      <c r="K79" s="713">
        <v>81173</v>
      </c>
      <c r="L79" s="713"/>
      <c r="M79" s="713"/>
      <c r="N79" s="714"/>
      <c r="O79" s="713"/>
      <c r="P79" s="713"/>
      <c r="Q79" s="713"/>
      <c r="R79" s="713"/>
    </row>
    <row r="80" spans="1:18" s="715" customFormat="1" ht="15" x14ac:dyDescent="0.25">
      <c r="A80" s="459"/>
      <c r="B80" s="721" t="s">
        <v>3208</v>
      </c>
      <c r="C80" s="713"/>
      <c r="D80" s="713"/>
      <c r="E80" s="713"/>
      <c r="F80" s="713"/>
      <c r="G80" s="713"/>
      <c r="H80" s="713"/>
      <c r="I80" s="713"/>
      <c r="J80" s="713"/>
      <c r="K80" s="713">
        <v>355200</v>
      </c>
      <c r="L80" s="713"/>
      <c r="M80" s="713"/>
      <c r="N80" s="714"/>
      <c r="O80" s="713"/>
      <c r="P80" s="713"/>
      <c r="Q80" s="713"/>
      <c r="R80" s="713"/>
    </row>
    <row r="81" spans="1:18" s="715" customFormat="1" ht="15" x14ac:dyDescent="0.25">
      <c r="A81" s="459"/>
      <c r="B81" s="610" t="s">
        <v>3237</v>
      </c>
      <c r="C81" s="713"/>
      <c r="D81" s="713"/>
      <c r="E81" s="713"/>
      <c r="F81" s="713"/>
      <c r="G81" s="713"/>
      <c r="H81" s="713"/>
      <c r="I81" s="713"/>
      <c r="J81" s="713">
        <v>502500</v>
      </c>
      <c r="K81" s="713"/>
      <c r="L81" s="713"/>
      <c r="M81" s="713"/>
      <c r="N81" s="714"/>
      <c r="O81" s="713"/>
      <c r="P81" s="713"/>
      <c r="Q81" s="713"/>
      <c r="R81" s="713"/>
    </row>
    <row r="82" spans="1:18" ht="15" x14ac:dyDescent="0.25">
      <c r="A82" s="459"/>
      <c r="B82" s="569" t="s">
        <v>3224</v>
      </c>
      <c r="C82" s="570"/>
      <c r="D82" s="570"/>
      <c r="E82" s="570"/>
      <c r="F82" s="570">
        <v>3456000</v>
      </c>
      <c r="G82" s="570"/>
      <c r="H82" s="570"/>
      <c r="I82" s="570"/>
      <c r="J82" s="570"/>
      <c r="K82" s="570"/>
      <c r="L82" s="570"/>
      <c r="M82" s="570"/>
      <c r="N82" s="571"/>
      <c r="O82" s="570"/>
      <c r="P82" s="570"/>
      <c r="Q82" s="570"/>
      <c r="R82" s="570"/>
    </row>
    <row r="83" spans="1:18" ht="15" x14ac:dyDescent="0.25">
      <c r="A83" s="459">
        <v>44967</v>
      </c>
      <c r="B83" s="573" t="s">
        <v>3231</v>
      </c>
      <c r="C83" s="570"/>
      <c r="D83" s="570"/>
      <c r="E83" s="570"/>
      <c r="F83" s="570">
        <v>160000</v>
      </c>
      <c r="G83" s="570"/>
      <c r="H83" s="570"/>
      <c r="I83" s="570"/>
      <c r="J83" s="570"/>
      <c r="K83" s="570"/>
      <c r="L83" s="570"/>
      <c r="M83" s="570"/>
      <c r="N83" s="571"/>
      <c r="O83" s="570"/>
      <c r="P83" s="570"/>
      <c r="Q83" s="570"/>
      <c r="R83" s="570"/>
    </row>
    <row r="84" spans="1:18" ht="15" x14ac:dyDescent="0.25">
      <c r="A84" s="459"/>
      <c r="B84" s="573" t="s">
        <v>3215</v>
      </c>
      <c r="C84" s="570"/>
      <c r="D84" s="570"/>
      <c r="E84" s="570"/>
      <c r="F84" s="570"/>
      <c r="G84" s="570"/>
      <c r="H84" s="570">
        <v>200000</v>
      </c>
      <c r="I84" s="570"/>
      <c r="J84" s="570"/>
      <c r="K84" s="570"/>
      <c r="L84" s="570"/>
      <c r="M84" s="570"/>
      <c r="N84" s="571"/>
      <c r="O84" s="570"/>
      <c r="P84" s="570"/>
      <c r="Q84" s="570"/>
      <c r="R84" s="570"/>
    </row>
    <row r="85" spans="1:18" ht="15" x14ac:dyDescent="0.25">
      <c r="A85" s="459"/>
      <c r="B85" s="573" t="s">
        <v>3242</v>
      </c>
      <c r="C85" s="570"/>
      <c r="D85" s="570"/>
      <c r="E85" s="570"/>
      <c r="F85" s="570">
        <v>60000</v>
      </c>
      <c r="G85" s="570"/>
      <c r="H85" s="570"/>
      <c r="I85" s="570"/>
      <c r="J85" s="570"/>
      <c r="K85" s="570"/>
      <c r="L85" s="570"/>
      <c r="M85" s="570"/>
      <c r="N85" s="571"/>
      <c r="O85" s="570"/>
      <c r="P85" s="570"/>
      <c r="Q85" s="570"/>
      <c r="R85" s="570"/>
    </row>
    <row r="86" spans="1:18" x14ac:dyDescent="0.25">
      <c r="A86" s="722"/>
      <c r="B86" s="573" t="s">
        <v>3251</v>
      </c>
      <c r="C86" s="570"/>
      <c r="D86" s="570"/>
      <c r="E86" s="570"/>
      <c r="F86" s="570"/>
      <c r="G86" s="570"/>
      <c r="H86" s="570"/>
      <c r="I86" s="570">
        <v>405000</v>
      </c>
      <c r="J86" s="570"/>
      <c r="K86" s="570"/>
      <c r="L86" s="570"/>
      <c r="M86" s="570"/>
      <c r="N86" s="571"/>
      <c r="O86" s="570"/>
      <c r="P86" s="570"/>
      <c r="Q86" s="570"/>
      <c r="R86" s="570"/>
    </row>
    <row r="87" spans="1:18" ht="28.5" x14ac:dyDescent="0.25">
      <c r="A87" s="717">
        <v>44968</v>
      </c>
      <c r="B87" s="610" t="s">
        <v>3202</v>
      </c>
      <c r="C87" s="570"/>
      <c r="D87" s="570"/>
      <c r="E87" s="570"/>
      <c r="F87" s="570"/>
      <c r="G87" s="570"/>
      <c r="H87" s="570"/>
      <c r="I87" s="570"/>
      <c r="J87" s="570"/>
      <c r="K87" s="570"/>
      <c r="L87" s="570"/>
      <c r="M87" s="570"/>
      <c r="N87" s="571"/>
      <c r="O87" s="570">
        <v>6490000</v>
      </c>
      <c r="P87" s="570"/>
      <c r="Q87" s="570"/>
      <c r="R87" s="570"/>
    </row>
    <row r="88" spans="1:18" ht="28.5" x14ac:dyDescent="0.25">
      <c r="A88" s="459"/>
      <c r="B88" s="611" t="s">
        <v>3203</v>
      </c>
      <c r="C88" s="570"/>
      <c r="D88" s="570"/>
      <c r="E88" s="570"/>
      <c r="F88" s="570"/>
      <c r="G88" s="570"/>
      <c r="H88" s="570"/>
      <c r="I88" s="570"/>
      <c r="J88" s="570"/>
      <c r="K88" s="570"/>
      <c r="L88" s="570"/>
      <c r="M88" s="570"/>
      <c r="N88" s="571"/>
      <c r="O88" s="570"/>
      <c r="P88" s="189">
        <f>40000*9</f>
        <v>360000</v>
      </c>
      <c r="Q88" s="570"/>
      <c r="R88" s="570"/>
    </row>
    <row r="89" spans="1:18" ht="15" x14ac:dyDescent="0.25">
      <c r="A89" s="459"/>
      <c r="B89" s="573" t="s">
        <v>3242</v>
      </c>
      <c r="C89" s="570"/>
      <c r="D89" s="570"/>
      <c r="E89" s="570"/>
      <c r="F89" s="570">
        <v>350000</v>
      </c>
      <c r="G89" s="570"/>
      <c r="H89" s="570"/>
      <c r="I89" s="570"/>
      <c r="J89" s="570"/>
      <c r="K89" s="570"/>
      <c r="L89" s="570"/>
      <c r="M89" s="570"/>
      <c r="N89" s="571"/>
      <c r="O89" s="570"/>
      <c r="P89" s="570"/>
      <c r="Q89" s="570"/>
      <c r="R89" s="570"/>
    </row>
    <row r="90" spans="1:18" ht="15" x14ac:dyDescent="0.25">
      <c r="A90" s="459">
        <v>44970</v>
      </c>
      <c r="B90" s="573" t="s">
        <v>3210</v>
      </c>
      <c r="C90" s="570">
        <v>64400</v>
      </c>
      <c r="D90" s="570"/>
      <c r="E90" s="570"/>
      <c r="F90" s="570"/>
      <c r="G90" s="570"/>
      <c r="H90" s="570"/>
      <c r="I90" s="570"/>
      <c r="J90" s="570"/>
      <c r="K90" s="570"/>
      <c r="L90" s="570"/>
      <c r="M90" s="570"/>
      <c r="N90" s="571"/>
      <c r="O90" s="570"/>
      <c r="P90" s="570"/>
      <c r="Q90" s="570"/>
      <c r="R90" s="570"/>
    </row>
    <row r="91" spans="1:18" ht="15" x14ac:dyDescent="0.25">
      <c r="A91" s="459"/>
      <c r="B91" s="573" t="s">
        <v>3218</v>
      </c>
      <c r="C91" s="570"/>
      <c r="D91" s="570"/>
      <c r="E91" s="570">
        <v>215000</v>
      </c>
      <c r="F91" s="570"/>
      <c r="G91" s="570"/>
      <c r="H91" s="570"/>
      <c r="I91" s="570"/>
      <c r="J91" s="570"/>
      <c r="K91" s="570"/>
      <c r="L91" s="570"/>
      <c r="M91" s="570"/>
      <c r="N91" s="571"/>
      <c r="O91" s="570"/>
      <c r="P91" s="570"/>
      <c r="Q91" s="570"/>
      <c r="R91" s="570"/>
    </row>
    <row r="92" spans="1:18" ht="15" x14ac:dyDescent="0.25">
      <c r="A92" s="459"/>
      <c r="B92" s="572" t="s">
        <v>3243</v>
      </c>
      <c r="C92" s="570"/>
      <c r="D92" s="570"/>
      <c r="E92" s="570"/>
      <c r="F92" s="570"/>
      <c r="G92" s="570">
        <v>250000</v>
      </c>
      <c r="H92" s="570"/>
      <c r="I92" s="570"/>
      <c r="J92" s="570"/>
      <c r="K92" s="570"/>
      <c r="L92" s="570"/>
      <c r="M92" s="570"/>
      <c r="N92" s="571"/>
      <c r="O92" s="570"/>
      <c r="P92" s="570"/>
      <c r="Q92" s="570"/>
      <c r="R92" s="570"/>
    </row>
    <row r="93" spans="1:18" ht="15" x14ac:dyDescent="0.25">
      <c r="A93" s="459">
        <v>44971</v>
      </c>
      <c r="B93" s="572" t="s">
        <v>3213</v>
      </c>
      <c r="C93" s="570"/>
      <c r="D93" s="570"/>
      <c r="E93" s="570"/>
      <c r="F93" s="570">
        <f>396000+142500</f>
        <v>538500</v>
      </c>
      <c r="G93" s="570"/>
      <c r="H93" s="570"/>
      <c r="I93" s="570"/>
      <c r="J93" s="570"/>
      <c r="K93" s="570"/>
      <c r="L93" s="570"/>
      <c r="M93" s="570"/>
      <c r="N93" s="571"/>
      <c r="O93" s="570"/>
      <c r="P93" s="570"/>
      <c r="Q93" s="570"/>
      <c r="R93" s="570"/>
    </row>
    <row r="94" spans="1:18" ht="15" x14ac:dyDescent="0.25">
      <c r="A94" s="459">
        <v>44972</v>
      </c>
      <c r="B94" s="573" t="s">
        <v>3224</v>
      </c>
      <c r="C94" s="570"/>
      <c r="D94" s="570"/>
      <c r="E94" s="570"/>
      <c r="F94" s="570">
        <v>3450000</v>
      </c>
      <c r="G94" s="570"/>
      <c r="H94" s="570"/>
      <c r="I94" s="570"/>
      <c r="J94" s="570"/>
      <c r="K94" s="570"/>
      <c r="L94" s="570"/>
      <c r="M94" s="570"/>
      <c r="N94" s="571"/>
      <c r="O94" s="570"/>
      <c r="P94" s="570"/>
      <c r="Q94" s="570"/>
      <c r="R94" s="570"/>
    </row>
    <row r="95" spans="1:18" ht="15" x14ac:dyDescent="0.25">
      <c r="A95" s="459">
        <v>44973</v>
      </c>
      <c r="B95" s="573" t="s">
        <v>3225</v>
      </c>
      <c r="C95" s="570"/>
      <c r="D95" s="570"/>
      <c r="E95" s="570"/>
      <c r="F95" s="570"/>
      <c r="G95" s="570">
        <v>200000</v>
      </c>
      <c r="H95" s="570"/>
      <c r="I95" s="570"/>
      <c r="J95" s="570"/>
      <c r="K95" s="570"/>
      <c r="L95" s="570"/>
      <c r="M95" s="570"/>
      <c r="N95" s="571"/>
      <c r="O95" s="570"/>
      <c r="P95" s="570"/>
      <c r="Q95" s="570"/>
      <c r="R95" s="570"/>
    </row>
    <row r="96" spans="1:18" ht="15" x14ac:dyDescent="0.25">
      <c r="A96" s="459"/>
      <c r="B96" s="572" t="s">
        <v>3217</v>
      </c>
      <c r="C96" s="570"/>
      <c r="D96" s="570"/>
      <c r="E96" s="570"/>
      <c r="F96" s="570"/>
      <c r="G96" s="570">
        <v>15000</v>
      </c>
      <c r="H96" s="570"/>
      <c r="I96" s="570"/>
      <c r="J96" s="570"/>
      <c r="K96" s="570"/>
      <c r="L96" s="570"/>
      <c r="M96" s="570"/>
      <c r="N96" s="571"/>
      <c r="O96" s="570"/>
      <c r="P96" s="570"/>
      <c r="Q96" s="570"/>
      <c r="R96" s="570"/>
    </row>
    <row r="97" spans="1:18" ht="28.5" x14ac:dyDescent="0.25">
      <c r="A97" s="459">
        <v>44974</v>
      </c>
      <c r="B97" s="611" t="s">
        <v>3204</v>
      </c>
      <c r="C97" s="570"/>
      <c r="D97" s="570"/>
      <c r="E97" s="570"/>
      <c r="F97" s="570"/>
      <c r="G97" s="570"/>
      <c r="H97" s="570"/>
      <c r="I97" s="570"/>
      <c r="J97" s="570"/>
      <c r="K97" s="570"/>
      <c r="L97" s="570"/>
      <c r="M97" s="570"/>
      <c r="N97" s="571"/>
      <c r="O97" s="570"/>
      <c r="P97" s="189">
        <f>40000*6</f>
        <v>240000</v>
      </c>
      <c r="Q97" s="570"/>
      <c r="R97" s="570"/>
    </row>
    <row r="98" spans="1:18" ht="15" x14ac:dyDescent="0.25">
      <c r="A98" s="459"/>
      <c r="B98" s="611" t="s">
        <v>3222</v>
      </c>
      <c r="C98" s="570"/>
      <c r="D98" s="570"/>
      <c r="E98" s="570"/>
      <c r="F98" s="570"/>
      <c r="G98" s="570"/>
      <c r="H98" s="570">
        <v>100000</v>
      </c>
      <c r="I98" s="570"/>
      <c r="J98" s="570"/>
      <c r="K98" s="570"/>
      <c r="L98" s="570"/>
      <c r="M98" s="570"/>
      <c r="N98" s="571"/>
      <c r="O98" s="570"/>
      <c r="P98" s="718"/>
      <c r="Q98" s="570"/>
      <c r="R98" s="570"/>
    </row>
    <row r="99" spans="1:18" ht="15" x14ac:dyDescent="0.25">
      <c r="A99" s="459"/>
      <c r="B99" s="569" t="s">
        <v>3244</v>
      </c>
      <c r="C99" s="570"/>
      <c r="D99" s="570">
        <v>450000</v>
      </c>
      <c r="E99" s="570"/>
      <c r="F99" s="570"/>
      <c r="G99" s="570"/>
      <c r="H99" s="570"/>
      <c r="I99" s="570"/>
      <c r="J99" s="570"/>
      <c r="K99" s="570"/>
      <c r="L99" s="570"/>
      <c r="M99" s="570"/>
      <c r="N99" s="571"/>
      <c r="O99" s="570"/>
      <c r="P99" s="570"/>
      <c r="Q99" s="570"/>
      <c r="R99" s="570"/>
    </row>
    <row r="100" spans="1:18" ht="15" x14ac:dyDescent="0.25">
      <c r="A100" s="459">
        <v>44977</v>
      </c>
      <c r="B100" s="572" t="s">
        <v>3210</v>
      </c>
      <c r="C100" s="570">
        <v>64400</v>
      </c>
      <c r="D100" s="570"/>
      <c r="E100" s="570"/>
      <c r="F100" s="570"/>
      <c r="G100" s="570"/>
      <c r="H100" s="570"/>
      <c r="I100" s="570"/>
      <c r="J100" s="570"/>
      <c r="K100" s="570"/>
      <c r="L100" s="570"/>
      <c r="M100" s="570"/>
      <c r="N100" s="571"/>
      <c r="O100" s="570"/>
      <c r="P100" s="570"/>
      <c r="Q100" s="570"/>
      <c r="R100" s="570"/>
    </row>
    <row r="101" spans="1:18" ht="15" x14ac:dyDescent="0.25">
      <c r="A101" s="459"/>
      <c r="B101" s="572" t="s">
        <v>3245</v>
      </c>
      <c r="C101" s="570"/>
      <c r="D101" s="570"/>
      <c r="E101" s="570"/>
      <c r="F101" s="570"/>
      <c r="G101" s="570"/>
      <c r="H101" s="570">
        <v>137904</v>
      </c>
      <c r="I101" s="570"/>
      <c r="J101" s="570"/>
      <c r="K101" s="570"/>
      <c r="L101" s="570"/>
      <c r="M101" s="570"/>
      <c r="N101" s="571"/>
      <c r="O101" s="570"/>
      <c r="P101" s="570"/>
      <c r="Q101" s="570"/>
      <c r="R101" s="570"/>
    </row>
    <row r="102" spans="1:18" ht="15" x14ac:dyDescent="0.25">
      <c r="A102" s="459"/>
      <c r="B102" s="720" t="s">
        <v>3246</v>
      </c>
      <c r="C102" s="570"/>
      <c r="D102" s="570"/>
      <c r="E102" s="570"/>
      <c r="F102" s="570"/>
      <c r="G102" s="570"/>
      <c r="H102" s="570"/>
      <c r="I102" s="570"/>
      <c r="J102" s="570"/>
      <c r="K102" s="570"/>
      <c r="L102" s="570">
        <f>2287000/2</f>
        <v>1143500</v>
      </c>
      <c r="M102" s="570"/>
      <c r="N102" s="571"/>
      <c r="O102" s="570"/>
      <c r="P102" s="570"/>
      <c r="Q102" s="570"/>
      <c r="R102" s="570"/>
    </row>
    <row r="103" spans="1:18" ht="15" x14ac:dyDescent="0.25">
      <c r="A103" s="459"/>
      <c r="B103" s="720" t="s">
        <v>3247</v>
      </c>
      <c r="C103" s="570"/>
      <c r="D103" s="570"/>
      <c r="E103" s="570"/>
      <c r="F103" s="570"/>
      <c r="G103" s="570"/>
      <c r="H103" s="570"/>
      <c r="I103" s="570"/>
      <c r="J103" s="570"/>
      <c r="K103" s="570"/>
      <c r="L103" s="570">
        <f>4342000/2</f>
        <v>2171000</v>
      </c>
      <c r="M103" s="570"/>
      <c r="N103" s="571"/>
      <c r="O103" s="570"/>
      <c r="P103" s="570"/>
      <c r="Q103" s="570"/>
      <c r="R103" s="570"/>
    </row>
    <row r="104" spans="1:18" ht="15" x14ac:dyDescent="0.25">
      <c r="A104" s="459"/>
      <c r="B104" s="720" t="s">
        <v>3248</v>
      </c>
      <c r="C104" s="570"/>
      <c r="D104" s="570"/>
      <c r="E104" s="570"/>
      <c r="F104" s="570"/>
      <c r="G104" s="570"/>
      <c r="H104" s="570"/>
      <c r="I104" s="570"/>
      <c r="J104" s="570"/>
      <c r="K104" s="570"/>
      <c r="L104" s="570">
        <f>2747000/2</f>
        <v>1373500</v>
      </c>
      <c r="M104" s="570"/>
      <c r="N104" s="571"/>
      <c r="O104" s="570"/>
      <c r="P104" s="570"/>
      <c r="Q104" s="570"/>
      <c r="R104" s="570"/>
    </row>
    <row r="105" spans="1:18" ht="15" x14ac:dyDescent="0.25">
      <c r="A105" s="459">
        <v>44978</v>
      </c>
      <c r="B105" s="569" t="s">
        <v>3218</v>
      </c>
      <c r="C105" s="570"/>
      <c r="D105" s="570"/>
      <c r="E105" s="570">
        <v>215000</v>
      </c>
      <c r="F105" s="570"/>
      <c r="G105" s="570"/>
      <c r="H105" s="570"/>
      <c r="I105" s="570"/>
      <c r="J105" s="570"/>
      <c r="K105" s="570"/>
      <c r="L105" s="570"/>
      <c r="M105" s="570"/>
      <c r="N105" s="571"/>
      <c r="O105" s="570"/>
      <c r="P105" s="570"/>
      <c r="Q105" s="570"/>
      <c r="R105" s="570"/>
    </row>
    <row r="106" spans="1:18" ht="15" x14ac:dyDescent="0.25">
      <c r="A106" s="459"/>
      <c r="B106" s="573" t="s">
        <v>3249</v>
      </c>
      <c r="C106" s="570"/>
      <c r="D106" s="570"/>
      <c r="E106" s="570"/>
      <c r="F106" s="570"/>
      <c r="G106" s="570"/>
      <c r="H106" s="570"/>
      <c r="I106" s="570"/>
      <c r="J106" s="570"/>
      <c r="K106" s="570"/>
      <c r="L106" s="570"/>
      <c r="M106" s="570"/>
      <c r="N106" s="571"/>
      <c r="O106" s="570"/>
      <c r="P106" s="570"/>
      <c r="Q106" s="570"/>
      <c r="R106" s="570">
        <v>80000</v>
      </c>
    </row>
    <row r="107" spans="1:18" ht="15" x14ac:dyDescent="0.25">
      <c r="A107" s="459">
        <v>44980</v>
      </c>
      <c r="B107" s="573" t="s">
        <v>3214</v>
      </c>
      <c r="C107" s="570"/>
      <c r="D107" s="570"/>
      <c r="E107" s="570"/>
      <c r="F107" s="570"/>
      <c r="G107" s="570"/>
      <c r="H107" s="570">
        <v>200000</v>
      </c>
      <c r="I107" s="570"/>
      <c r="J107" s="570"/>
      <c r="K107" s="570"/>
      <c r="L107" s="570"/>
      <c r="M107" s="570"/>
      <c r="N107" s="571"/>
      <c r="O107" s="570"/>
      <c r="P107" s="570"/>
      <c r="Q107" s="570"/>
      <c r="R107" s="570"/>
    </row>
    <row r="108" spans="1:18" ht="28.5" x14ac:dyDescent="0.25">
      <c r="A108" s="459">
        <v>44982</v>
      </c>
      <c r="B108" s="610" t="s">
        <v>3205</v>
      </c>
      <c r="C108" s="570"/>
      <c r="D108" s="570"/>
      <c r="E108" s="570"/>
      <c r="F108" s="570"/>
      <c r="G108" s="570"/>
      <c r="H108" s="570"/>
      <c r="I108" s="570"/>
      <c r="J108" s="570"/>
      <c r="K108" s="570"/>
      <c r="L108" s="570"/>
      <c r="M108" s="570"/>
      <c r="N108" s="571"/>
      <c r="O108" s="570">
        <v>4950000</v>
      </c>
      <c r="P108" s="570"/>
      <c r="Q108" s="570"/>
      <c r="R108" s="570"/>
    </row>
    <row r="109" spans="1:18" ht="28.5" x14ac:dyDescent="0.25">
      <c r="A109" s="459"/>
      <c r="B109" s="611" t="s">
        <v>3206</v>
      </c>
      <c r="C109" s="570"/>
      <c r="D109" s="570"/>
      <c r="E109" s="570"/>
      <c r="F109" s="570"/>
      <c r="G109" s="570"/>
      <c r="H109" s="570"/>
      <c r="I109" s="570"/>
      <c r="J109" s="570"/>
      <c r="K109" s="570"/>
      <c r="L109" s="570"/>
      <c r="M109" s="570"/>
      <c r="N109" s="571"/>
      <c r="O109" s="570"/>
      <c r="P109" s="189">
        <f>40000*8</f>
        <v>320000</v>
      </c>
      <c r="Q109" s="570"/>
      <c r="R109" s="570"/>
    </row>
    <row r="110" spans="1:18" ht="15" x14ac:dyDescent="0.25">
      <c r="A110" s="459">
        <v>44984</v>
      </c>
      <c r="B110" s="573" t="s">
        <v>3210</v>
      </c>
      <c r="C110" s="570">
        <v>64500</v>
      </c>
      <c r="D110" s="570"/>
      <c r="E110" s="570"/>
      <c r="F110" s="570"/>
      <c r="G110" s="570"/>
      <c r="H110" s="570"/>
      <c r="I110" s="570"/>
      <c r="J110" s="570"/>
      <c r="K110" s="570"/>
      <c r="L110" s="570"/>
      <c r="M110" s="570"/>
      <c r="N110" s="571"/>
      <c r="O110" s="570"/>
      <c r="P110" s="570"/>
      <c r="Q110" s="570"/>
      <c r="R110" s="570"/>
    </row>
    <row r="111" spans="1:18" ht="15" x14ac:dyDescent="0.25">
      <c r="A111" s="459">
        <v>44954</v>
      </c>
      <c r="B111" s="610" t="s">
        <v>2625</v>
      </c>
      <c r="C111" s="570"/>
      <c r="D111" s="570"/>
      <c r="E111" s="570"/>
      <c r="F111" s="570"/>
      <c r="G111" s="570"/>
      <c r="H111" s="570"/>
      <c r="I111" s="570"/>
      <c r="J111" s="570"/>
      <c r="K111" s="570"/>
      <c r="L111" s="570"/>
      <c r="M111" s="570"/>
      <c r="N111" s="571"/>
      <c r="O111" s="570">
        <v>22900000</v>
      </c>
      <c r="P111" s="570"/>
      <c r="Q111" s="570"/>
      <c r="R111" s="570"/>
    </row>
    <row r="112" spans="1:18" ht="15" x14ac:dyDescent="0.25">
      <c r="A112" s="459"/>
      <c r="B112" s="610" t="s">
        <v>2626</v>
      </c>
      <c r="C112" s="570"/>
      <c r="D112" s="570"/>
      <c r="E112" s="570"/>
      <c r="F112" s="570"/>
      <c r="G112" s="570"/>
      <c r="H112" s="570"/>
      <c r="I112" s="570"/>
      <c r="J112" s="570"/>
      <c r="K112" s="570"/>
      <c r="L112" s="570"/>
      <c r="M112" s="570">
        <v>5180500</v>
      </c>
      <c r="N112" s="571"/>
      <c r="O112" s="570"/>
      <c r="P112" s="570"/>
      <c r="Q112" s="570"/>
      <c r="R112" s="570"/>
    </row>
    <row r="113" spans="1:18" ht="15" x14ac:dyDescent="0.25">
      <c r="A113" s="716"/>
      <c r="B113" s="610" t="s">
        <v>2627</v>
      </c>
      <c r="C113" s="570"/>
      <c r="D113" s="570"/>
      <c r="E113" s="570"/>
      <c r="F113" s="570"/>
      <c r="G113" s="570"/>
      <c r="H113" s="570"/>
      <c r="I113" s="570"/>
      <c r="J113" s="570"/>
      <c r="K113" s="570"/>
      <c r="L113" s="570"/>
      <c r="M113" s="570"/>
      <c r="N113" s="571"/>
      <c r="O113" s="570"/>
      <c r="P113" s="570">
        <v>800000</v>
      </c>
      <c r="Q113" s="570"/>
      <c r="R113" s="570"/>
    </row>
    <row r="114" spans="1:18" ht="16.5" x14ac:dyDescent="0.25">
      <c r="A114" s="462"/>
      <c r="B114" s="577" t="s">
        <v>38</v>
      </c>
      <c r="C114" s="578">
        <f t="shared" ref="C114:R114" si="1">SUM(C63:C113)</f>
        <v>742700</v>
      </c>
      <c r="D114" s="578">
        <f t="shared" si="1"/>
        <v>450000</v>
      </c>
      <c r="E114" s="578">
        <f t="shared" si="1"/>
        <v>460000</v>
      </c>
      <c r="F114" s="578">
        <f t="shared" si="1"/>
        <v>10184500</v>
      </c>
      <c r="G114" s="578">
        <f t="shared" si="1"/>
        <v>480000</v>
      </c>
      <c r="H114" s="578">
        <f t="shared" si="1"/>
        <v>1132904</v>
      </c>
      <c r="I114" s="578">
        <f t="shared" si="1"/>
        <v>2734000</v>
      </c>
      <c r="J114" s="578">
        <f t="shared" si="1"/>
        <v>502500</v>
      </c>
      <c r="K114" s="578">
        <f t="shared" si="1"/>
        <v>436373</v>
      </c>
      <c r="L114" s="578">
        <f t="shared" si="1"/>
        <v>4688000</v>
      </c>
      <c r="M114" s="578">
        <f t="shared" si="1"/>
        <v>5180500</v>
      </c>
      <c r="N114" s="578">
        <f t="shared" si="1"/>
        <v>1995821</v>
      </c>
      <c r="O114" s="578">
        <f t="shared" si="1"/>
        <v>34340000</v>
      </c>
      <c r="P114" s="578">
        <f t="shared" si="1"/>
        <v>2080000</v>
      </c>
      <c r="Q114" s="578">
        <f t="shared" si="1"/>
        <v>0</v>
      </c>
      <c r="R114" s="578">
        <f t="shared" si="1"/>
        <v>80000</v>
      </c>
    </row>
    <row r="115" spans="1:18" ht="16.5" x14ac:dyDescent="0.25">
      <c r="A115" s="461" t="s">
        <v>2551</v>
      </c>
      <c r="B115" s="579"/>
      <c r="C115" s="580"/>
      <c r="D115" s="580"/>
      <c r="E115" s="580"/>
      <c r="F115" s="580"/>
      <c r="G115" s="580"/>
      <c r="H115" s="580"/>
      <c r="I115" s="580"/>
      <c r="J115" s="580"/>
      <c r="K115" s="580"/>
      <c r="L115" s="580"/>
      <c r="M115" s="580"/>
      <c r="N115" s="581"/>
      <c r="O115" s="580"/>
      <c r="P115" s="580"/>
      <c r="Q115" s="582"/>
      <c r="R115" s="582"/>
    </row>
    <row r="116" spans="1:18" ht="15" x14ac:dyDescent="0.25">
      <c r="A116" s="459">
        <v>44986</v>
      </c>
      <c r="B116" s="572" t="s">
        <v>4137</v>
      </c>
      <c r="C116" s="570"/>
      <c r="D116" s="570"/>
      <c r="E116" s="570"/>
      <c r="F116" s="570"/>
      <c r="G116" s="570"/>
      <c r="H116" s="570"/>
      <c r="I116" s="570">
        <v>560000</v>
      </c>
      <c r="J116" s="570"/>
      <c r="K116" s="570"/>
      <c r="L116" s="570"/>
      <c r="M116" s="570"/>
      <c r="N116" s="571"/>
      <c r="O116" s="570"/>
      <c r="P116" s="570"/>
      <c r="Q116" s="570"/>
      <c r="R116" s="570"/>
    </row>
    <row r="117" spans="1:18" ht="15" x14ac:dyDescent="0.25">
      <c r="A117" s="459">
        <v>44987</v>
      </c>
      <c r="B117" s="572" t="s">
        <v>4136</v>
      </c>
      <c r="C117" s="570"/>
      <c r="D117" s="570"/>
      <c r="E117" s="570"/>
      <c r="F117" s="570"/>
      <c r="G117" s="570"/>
      <c r="H117" s="570"/>
      <c r="I117" s="570">
        <v>430000</v>
      </c>
      <c r="J117" s="570"/>
      <c r="K117" s="570"/>
      <c r="L117" s="570"/>
      <c r="M117" s="570"/>
      <c r="N117" s="571"/>
      <c r="O117" s="570"/>
      <c r="P117" s="570"/>
      <c r="Q117" s="570"/>
      <c r="R117" s="570"/>
    </row>
    <row r="118" spans="1:18" ht="15" x14ac:dyDescent="0.25">
      <c r="A118" s="459"/>
      <c r="B118" s="572" t="s">
        <v>3227</v>
      </c>
      <c r="C118" s="570"/>
      <c r="D118" s="570"/>
      <c r="E118" s="570">
        <v>30000</v>
      </c>
      <c r="F118" s="570"/>
      <c r="G118" s="570"/>
      <c r="H118" s="570"/>
      <c r="I118" s="570"/>
      <c r="J118" s="570"/>
      <c r="K118" s="570"/>
      <c r="L118" s="570"/>
      <c r="M118" s="570"/>
      <c r="N118" s="571"/>
      <c r="O118" s="570"/>
      <c r="P118" s="570"/>
      <c r="Q118" s="570"/>
      <c r="R118" s="570"/>
    </row>
    <row r="119" spans="1:18" ht="15" x14ac:dyDescent="0.25">
      <c r="A119" s="459">
        <v>44989</v>
      </c>
      <c r="B119" s="573" t="s">
        <v>3232</v>
      </c>
      <c r="C119" s="570"/>
      <c r="D119" s="570"/>
      <c r="E119" s="570">
        <v>25000</v>
      </c>
      <c r="F119" s="570"/>
      <c r="G119" s="570"/>
      <c r="H119" s="570"/>
      <c r="I119" s="570"/>
      <c r="J119" s="570"/>
      <c r="K119" s="570"/>
      <c r="L119" s="570"/>
      <c r="M119" s="570"/>
      <c r="N119" s="571"/>
      <c r="O119" s="570"/>
      <c r="P119" s="570"/>
      <c r="Q119" s="570"/>
      <c r="R119" s="570"/>
    </row>
    <row r="120" spans="1:18" ht="15" x14ac:dyDescent="0.25">
      <c r="A120" s="459"/>
      <c r="B120" s="719" t="s">
        <v>4138</v>
      </c>
      <c r="C120" s="570"/>
      <c r="D120" s="570"/>
      <c r="E120" s="570"/>
      <c r="F120" s="570">
        <v>315000</v>
      </c>
      <c r="G120" s="570"/>
      <c r="H120" s="570"/>
      <c r="I120" s="570"/>
      <c r="J120" s="570"/>
      <c r="K120" s="570"/>
      <c r="L120" s="570"/>
      <c r="M120" s="570"/>
      <c r="N120" s="571"/>
      <c r="O120" s="570"/>
      <c r="P120" s="570"/>
      <c r="Q120" s="570"/>
      <c r="R120" s="570"/>
    </row>
    <row r="121" spans="1:18" ht="15" x14ac:dyDescent="0.25">
      <c r="A121" s="459"/>
      <c r="B121" s="719" t="s">
        <v>3212</v>
      </c>
      <c r="C121" s="570"/>
      <c r="D121" s="570"/>
      <c r="E121" s="570"/>
      <c r="F121" s="570"/>
      <c r="G121" s="570"/>
      <c r="H121" s="570">
        <v>150000</v>
      </c>
      <c r="I121" s="570"/>
      <c r="J121" s="570"/>
      <c r="K121" s="570"/>
      <c r="L121" s="570"/>
      <c r="M121" s="570"/>
      <c r="N121" s="571"/>
      <c r="O121" s="570"/>
      <c r="P121" s="570"/>
      <c r="Q121" s="570"/>
      <c r="R121" s="570"/>
    </row>
    <row r="122" spans="1:18" ht="15" x14ac:dyDescent="0.25">
      <c r="A122" s="459"/>
      <c r="B122" s="719" t="s">
        <v>3214</v>
      </c>
      <c r="C122" s="570"/>
      <c r="D122" s="570"/>
      <c r="E122" s="570"/>
      <c r="F122" s="570"/>
      <c r="G122" s="570"/>
      <c r="H122" s="570">
        <v>100000</v>
      </c>
      <c r="I122" s="570"/>
      <c r="J122" s="570"/>
      <c r="K122" s="570"/>
      <c r="L122" s="570"/>
      <c r="M122" s="570"/>
      <c r="N122" s="571"/>
      <c r="O122" s="570"/>
      <c r="P122" s="570"/>
      <c r="Q122" s="570"/>
      <c r="R122" s="570"/>
    </row>
    <row r="123" spans="1:18" ht="28.5" x14ac:dyDescent="0.25">
      <c r="A123" s="459"/>
      <c r="B123" s="611" t="s">
        <v>3708</v>
      </c>
      <c r="C123" s="570"/>
      <c r="D123" s="570"/>
      <c r="E123" s="570"/>
      <c r="F123" s="570"/>
      <c r="G123" s="570"/>
      <c r="H123" s="570"/>
      <c r="I123" s="570"/>
      <c r="J123" s="570"/>
      <c r="K123" s="570"/>
      <c r="L123" s="570"/>
      <c r="M123" s="570"/>
      <c r="N123" s="571"/>
      <c r="O123" s="570"/>
      <c r="P123" s="570">
        <f>40000*10</f>
        <v>400000</v>
      </c>
      <c r="Q123" s="570"/>
      <c r="R123" s="570"/>
    </row>
    <row r="124" spans="1:18" ht="15" x14ac:dyDescent="0.25">
      <c r="A124" s="459">
        <v>44990</v>
      </c>
      <c r="B124" s="610" t="s">
        <v>4144</v>
      </c>
      <c r="C124" s="570"/>
      <c r="D124" s="570"/>
      <c r="E124" s="570"/>
      <c r="F124" s="570"/>
      <c r="G124" s="570"/>
      <c r="H124" s="570"/>
      <c r="I124" s="570"/>
      <c r="J124" s="570"/>
      <c r="K124" s="570"/>
      <c r="L124" s="570"/>
      <c r="M124" s="570"/>
      <c r="N124" s="714">
        <v>1995821</v>
      </c>
      <c r="O124" s="570"/>
      <c r="P124" s="570"/>
      <c r="Q124" s="570"/>
      <c r="R124" s="570"/>
    </row>
    <row r="125" spans="1:18" ht="15" x14ac:dyDescent="0.25">
      <c r="A125" s="459">
        <v>44991</v>
      </c>
      <c r="B125" s="611" t="s">
        <v>3210</v>
      </c>
      <c r="C125" s="570">
        <v>63300</v>
      </c>
      <c r="D125" s="570"/>
      <c r="E125" s="570"/>
      <c r="F125" s="570"/>
      <c r="G125" s="570"/>
      <c r="H125" s="570"/>
      <c r="I125" s="570"/>
      <c r="J125" s="570"/>
      <c r="K125" s="570"/>
      <c r="L125" s="570"/>
      <c r="M125" s="570"/>
      <c r="N125" s="571"/>
      <c r="O125" s="570"/>
      <c r="P125" s="570"/>
      <c r="Q125" s="570"/>
      <c r="R125" s="570"/>
    </row>
    <row r="126" spans="1:18" ht="15" x14ac:dyDescent="0.25">
      <c r="A126" s="459"/>
      <c r="B126" s="573" t="s">
        <v>3218</v>
      </c>
      <c r="C126" s="570"/>
      <c r="D126" s="570"/>
      <c r="E126" s="570">
        <v>225000</v>
      </c>
      <c r="F126" s="570"/>
      <c r="G126" s="570"/>
      <c r="H126" s="570"/>
      <c r="I126" s="570"/>
      <c r="J126" s="570"/>
      <c r="K126" s="570"/>
      <c r="L126" s="570"/>
      <c r="M126" s="570"/>
      <c r="N126" s="571"/>
      <c r="O126" s="570"/>
      <c r="P126" s="570"/>
      <c r="Q126" s="570"/>
      <c r="R126" s="570"/>
    </row>
    <row r="127" spans="1:18" ht="15" x14ac:dyDescent="0.25">
      <c r="A127" s="459"/>
      <c r="B127" s="572" t="s">
        <v>3237</v>
      </c>
      <c r="C127" s="570"/>
      <c r="D127" s="570"/>
      <c r="E127" s="570"/>
      <c r="F127" s="570"/>
      <c r="G127" s="570"/>
      <c r="H127" s="570"/>
      <c r="I127" s="570"/>
      <c r="J127" s="570">
        <v>502500</v>
      </c>
      <c r="K127" s="570"/>
      <c r="L127" s="570"/>
      <c r="M127" s="570"/>
      <c r="N127" s="571"/>
      <c r="O127" s="570"/>
      <c r="P127" s="570"/>
      <c r="Q127" s="570"/>
      <c r="R127" s="570"/>
    </row>
    <row r="128" spans="1:18" ht="15" x14ac:dyDescent="0.25">
      <c r="A128" s="459"/>
      <c r="B128" s="569" t="s">
        <v>4139</v>
      </c>
      <c r="C128" s="570"/>
      <c r="D128" s="570"/>
      <c r="E128" s="570"/>
      <c r="F128" s="570"/>
      <c r="G128" s="570"/>
      <c r="H128" s="570">
        <v>100000</v>
      </c>
      <c r="I128" s="570"/>
      <c r="J128" s="570"/>
      <c r="K128" s="570"/>
      <c r="L128" s="570"/>
      <c r="M128" s="570"/>
      <c r="N128" s="571"/>
      <c r="O128" s="570"/>
      <c r="P128" s="570"/>
      <c r="Q128" s="570"/>
      <c r="R128" s="570"/>
    </row>
    <row r="129" spans="1:18" ht="15" x14ac:dyDescent="0.25">
      <c r="A129" s="459">
        <v>44992</v>
      </c>
      <c r="B129" s="569" t="s">
        <v>3222</v>
      </c>
      <c r="C129" s="570"/>
      <c r="D129" s="570"/>
      <c r="E129" s="570"/>
      <c r="F129" s="570"/>
      <c r="G129" s="570"/>
      <c r="H129" s="570">
        <v>150000</v>
      </c>
      <c r="I129" s="570"/>
      <c r="J129" s="570"/>
      <c r="K129" s="570"/>
      <c r="L129" s="570"/>
      <c r="M129" s="570"/>
      <c r="N129" s="571"/>
      <c r="O129" s="570"/>
      <c r="P129" s="570"/>
      <c r="Q129" s="570"/>
      <c r="R129" s="570"/>
    </row>
    <row r="130" spans="1:18" ht="15" x14ac:dyDescent="0.25">
      <c r="A130" s="459"/>
      <c r="B130" s="569" t="s">
        <v>3226</v>
      </c>
      <c r="C130" s="570"/>
      <c r="D130" s="570"/>
      <c r="E130" s="570"/>
      <c r="F130" s="570"/>
      <c r="G130" s="570"/>
      <c r="H130" s="570">
        <v>150000</v>
      </c>
      <c r="I130" s="570"/>
      <c r="J130" s="570"/>
      <c r="K130" s="570"/>
      <c r="L130" s="570"/>
      <c r="M130" s="570"/>
      <c r="N130" s="571"/>
      <c r="O130" s="570"/>
      <c r="P130" s="570"/>
      <c r="Q130" s="570"/>
      <c r="R130" s="570"/>
    </row>
    <row r="131" spans="1:18" ht="15" x14ac:dyDescent="0.25">
      <c r="A131" s="459"/>
      <c r="B131" s="569" t="s">
        <v>3224</v>
      </c>
      <c r="C131" s="570"/>
      <c r="D131" s="570"/>
      <c r="E131" s="570"/>
      <c r="F131" s="570">
        <v>4650000</v>
      </c>
      <c r="G131" s="570"/>
      <c r="H131" s="570"/>
      <c r="I131" s="570"/>
      <c r="J131" s="570"/>
      <c r="K131" s="570"/>
      <c r="L131" s="570"/>
      <c r="M131" s="570"/>
      <c r="N131" s="571"/>
      <c r="O131" s="570"/>
      <c r="P131" s="570"/>
      <c r="Q131" s="570"/>
      <c r="R131" s="570"/>
    </row>
    <row r="132" spans="1:18" ht="15" x14ac:dyDescent="0.25">
      <c r="A132" s="459"/>
      <c r="B132" s="569" t="s">
        <v>3215</v>
      </c>
      <c r="C132" s="570"/>
      <c r="D132" s="570"/>
      <c r="E132" s="570"/>
      <c r="F132" s="570"/>
      <c r="G132" s="570"/>
      <c r="H132" s="570">
        <v>200000</v>
      </c>
      <c r="I132" s="570"/>
      <c r="J132" s="570"/>
      <c r="K132" s="570"/>
      <c r="L132" s="570"/>
      <c r="M132" s="570"/>
      <c r="N132" s="571"/>
      <c r="O132" s="570"/>
      <c r="P132" s="570"/>
      <c r="Q132" s="570"/>
      <c r="R132" s="570"/>
    </row>
    <row r="133" spans="1:18" s="715" customFormat="1" ht="15" x14ac:dyDescent="0.25">
      <c r="A133" s="459">
        <v>44993</v>
      </c>
      <c r="B133" s="610" t="s">
        <v>3207</v>
      </c>
      <c r="C133" s="713"/>
      <c r="D133" s="713"/>
      <c r="E133" s="713"/>
      <c r="F133" s="713"/>
      <c r="G133" s="713"/>
      <c r="H133" s="713"/>
      <c r="I133" s="713"/>
      <c r="J133" s="713"/>
      <c r="K133" s="713">
        <v>92026</v>
      </c>
      <c r="L133" s="713"/>
      <c r="M133" s="713"/>
      <c r="N133" s="714"/>
      <c r="O133" s="713"/>
      <c r="P133" s="713"/>
      <c r="Q133" s="713"/>
      <c r="R133" s="713"/>
    </row>
    <row r="134" spans="1:18" s="715" customFormat="1" ht="15" x14ac:dyDescent="0.25">
      <c r="A134" s="459"/>
      <c r="B134" s="721" t="s">
        <v>3208</v>
      </c>
      <c r="C134" s="713"/>
      <c r="D134" s="713"/>
      <c r="E134" s="713"/>
      <c r="F134" s="713"/>
      <c r="G134" s="713"/>
      <c r="H134" s="713"/>
      <c r="I134" s="713"/>
      <c r="J134" s="713"/>
      <c r="K134" s="713">
        <v>355200</v>
      </c>
      <c r="L134" s="713"/>
      <c r="M134" s="713"/>
      <c r="N134" s="714"/>
      <c r="O134" s="713"/>
      <c r="P134" s="713"/>
      <c r="Q134" s="713"/>
      <c r="R134" s="713"/>
    </row>
    <row r="135" spans="1:18" s="715" customFormat="1" ht="15" x14ac:dyDescent="0.25">
      <c r="A135" s="459"/>
      <c r="B135" s="721" t="s">
        <v>4140</v>
      </c>
      <c r="C135" s="713"/>
      <c r="D135" s="713"/>
      <c r="E135" s="713"/>
      <c r="F135" s="713"/>
      <c r="G135" s="713"/>
      <c r="H135" s="713"/>
      <c r="I135" s="713"/>
      <c r="J135" s="713"/>
      <c r="K135" s="713">
        <v>104000</v>
      </c>
      <c r="L135" s="713"/>
      <c r="M135" s="713"/>
      <c r="N135" s="714"/>
      <c r="O135" s="713"/>
      <c r="P135" s="713"/>
      <c r="Q135" s="713"/>
      <c r="R135" s="713"/>
    </row>
    <row r="136" spans="1:18" ht="15" x14ac:dyDescent="0.25">
      <c r="A136" s="459">
        <v>44995</v>
      </c>
      <c r="B136" s="572" t="s">
        <v>3242</v>
      </c>
      <c r="C136" s="570"/>
      <c r="D136" s="570"/>
      <c r="E136" s="570"/>
      <c r="F136" s="570">
        <v>100000</v>
      </c>
      <c r="G136" s="570"/>
      <c r="H136" s="570"/>
      <c r="I136" s="570"/>
      <c r="J136" s="570"/>
      <c r="K136" s="570"/>
      <c r="L136" s="570"/>
      <c r="M136" s="570"/>
      <c r="N136" s="571"/>
      <c r="O136" s="570"/>
      <c r="P136" s="570"/>
      <c r="Q136" s="570"/>
      <c r="R136" s="570"/>
    </row>
    <row r="137" spans="1:18" ht="15" x14ac:dyDescent="0.25">
      <c r="A137" s="459">
        <v>44996</v>
      </c>
      <c r="B137" s="573" t="s">
        <v>4141</v>
      </c>
      <c r="C137" s="570"/>
      <c r="D137" s="570"/>
      <c r="E137" s="570"/>
      <c r="F137" s="570"/>
      <c r="G137" s="570"/>
      <c r="H137" s="570"/>
      <c r="I137" s="570">
        <v>760000</v>
      </c>
      <c r="J137" s="570"/>
      <c r="K137" s="570"/>
      <c r="L137" s="570"/>
      <c r="M137" s="570"/>
      <c r="N137" s="571"/>
      <c r="O137" s="570"/>
      <c r="P137" s="570"/>
      <c r="Q137" s="570"/>
      <c r="R137" s="570"/>
    </row>
    <row r="138" spans="1:18" ht="28.5" x14ac:dyDescent="0.25">
      <c r="A138" s="459"/>
      <c r="B138" s="610" t="s">
        <v>3709</v>
      </c>
      <c r="C138" s="570"/>
      <c r="D138" s="570"/>
      <c r="E138" s="570"/>
      <c r="F138" s="570"/>
      <c r="G138" s="570"/>
      <c r="H138" s="570"/>
      <c r="I138" s="570"/>
      <c r="J138" s="570"/>
      <c r="K138" s="570"/>
      <c r="L138" s="570"/>
      <c r="M138" s="570"/>
      <c r="N138" s="571"/>
      <c r="O138" s="570">
        <v>6600000</v>
      </c>
      <c r="P138" s="570"/>
      <c r="Q138" s="570"/>
      <c r="R138" s="570"/>
    </row>
    <row r="139" spans="1:18" ht="28.5" x14ac:dyDescent="0.25">
      <c r="A139" s="459"/>
      <c r="B139" s="611" t="s">
        <v>3710</v>
      </c>
      <c r="C139" s="570"/>
      <c r="D139" s="570"/>
      <c r="E139" s="570"/>
      <c r="F139" s="570"/>
      <c r="G139" s="570"/>
      <c r="H139" s="570"/>
      <c r="I139" s="570"/>
      <c r="J139" s="570"/>
      <c r="K139" s="570"/>
      <c r="L139" s="570"/>
      <c r="M139" s="570"/>
      <c r="N139" s="571"/>
      <c r="O139" s="570"/>
      <c r="P139" s="570">
        <f>40000*9</f>
        <v>360000</v>
      </c>
      <c r="Q139" s="570"/>
      <c r="R139" s="570"/>
    </row>
    <row r="140" spans="1:18" ht="15" x14ac:dyDescent="0.25">
      <c r="A140" s="459">
        <v>44998</v>
      </c>
      <c r="B140" s="572" t="s">
        <v>3210</v>
      </c>
      <c r="C140" s="570">
        <v>63250</v>
      </c>
      <c r="D140" s="570"/>
      <c r="E140" s="570"/>
      <c r="F140" s="570"/>
      <c r="G140" s="570"/>
      <c r="H140" s="570"/>
      <c r="I140" s="570"/>
      <c r="J140" s="570"/>
      <c r="K140" s="570"/>
      <c r="L140" s="570"/>
      <c r="M140" s="570"/>
      <c r="N140" s="571"/>
      <c r="O140" s="570"/>
      <c r="P140" s="570"/>
      <c r="Q140" s="570"/>
      <c r="R140" s="570"/>
    </row>
    <row r="141" spans="1:18" ht="15" x14ac:dyDescent="0.25">
      <c r="A141" s="459">
        <v>45001</v>
      </c>
      <c r="B141" s="576" t="s">
        <v>3227</v>
      </c>
      <c r="C141" s="570"/>
      <c r="D141" s="570"/>
      <c r="E141" s="570">
        <v>30000</v>
      </c>
      <c r="F141" s="570"/>
      <c r="G141" s="570"/>
      <c r="H141" s="570"/>
      <c r="I141" s="570"/>
      <c r="J141" s="570"/>
      <c r="K141" s="570"/>
      <c r="L141" s="570"/>
      <c r="M141" s="570"/>
      <c r="N141" s="571"/>
      <c r="O141" s="570"/>
      <c r="P141" s="570"/>
      <c r="Q141" s="570"/>
      <c r="R141" s="570"/>
    </row>
    <row r="142" spans="1:18" ht="15" x14ac:dyDescent="0.25">
      <c r="A142" s="459">
        <v>45003</v>
      </c>
      <c r="B142" s="585" t="s">
        <v>3218</v>
      </c>
      <c r="C142" s="570"/>
      <c r="D142" s="570"/>
      <c r="E142" s="570">
        <v>225000</v>
      </c>
      <c r="F142" s="570"/>
      <c r="G142" s="570"/>
      <c r="H142" s="570"/>
      <c r="I142" s="570"/>
      <c r="J142" s="570"/>
      <c r="K142" s="570"/>
      <c r="L142" s="570"/>
      <c r="M142" s="570"/>
      <c r="N142" s="571"/>
      <c r="O142" s="570"/>
      <c r="P142" s="570"/>
      <c r="Q142" s="570"/>
      <c r="R142" s="570"/>
    </row>
    <row r="143" spans="1:18" ht="28.5" x14ac:dyDescent="0.25">
      <c r="A143" s="459"/>
      <c r="B143" s="611" t="s">
        <v>3711</v>
      </c>
      <c r="C143" s="570"/>
      <c r="D143" s="570"/>
      <c r="E143" s="570"/>
      <c r="F143" s="570"/>
      <c r="G143" s="570"/>
      <c r="H143" s="570"/>
      <c r="I143" s="570"/>
      <c r="J143" s="570"/>
      <c r="K143" s="570"/>
      <c r="L143" s="570"/>
      <c r="M143" s="570"/>
      <c r="N143" s="571"/>
      <c r="O143" s="570"/>
      <c r="P143" s="570">
        <f>40000*7</f>
        <v>280000</v>
      </c>
      <c r="Q143" s="570"/>
      <c r="R143" s="570"/>
    </row>
    <row r="144" spans="1:18" ht="15" x14ac:dyDescent="0.25">
      <c r="A144" s="459">
        <v>45005</v>
      </c>
      <c r="B144" s="572" t="s">
        <v>3210</v>
      </c>
      <c r="C144" s="570">
        <v>49500</v>
      </c>
      <c r="D144" s="570"/>
      <c r="E144" s="570"/>
      <c r="F144" s="570"/>
      <c r="G144" s="570"/>
      <c r="H144" s="570"/>
      <c r="I144" s="570"/>
      <c r="J144" s="570"/>
      <c r="K144" s="570"/>
      <c r="L144" s="570"/>
      <c r="M144" s="570"/>
      <c r="N144" s="571"/>
      <c r="O144" s="570"/>
      <c r="P144" s="570"/>
      <c r="Q144" s="570"/>
      <c r="R144" s="570"/>
    </row>
    <row r="145" spans="1:18" ht="15" x14ac:dyDescent="0.25">
      <c r="A145" s="459"/>
      <c r="B145" s="572" t="s">
        <v>4142</v>
      </c>
      <c r="C145" s="570"/>
      <c r="D145" s="570"/>
      <c r="E145" s="570"/>
      <c r="F145" s="570"/>
      <c r="G145" s="570"/>
      <c r="H145" s="570"/>
      <c r="I145" s="570">
        <v>175000</v>
      </c>
      <c r="J145" s="570"/>
      <c r="K145" s="570"/>
      <c r="L145" s="570"/>
      <c r="M145" s="570"/>
      <c r="N145" s="571"/>
      <c r="O145" s="570"/>
      <c r="P145" s="570"/>
      <c r="Q145" s="570"/>
      <c r="R145" s="570"/>
    </row>
    <row r="146" spans="1:18" ht="15" x14ac:dyDescent="0.25">
      <c r="A146" s="459">
        <v>45010</v>
      </c>
      <c r="B146" s="569" t="s">
        <v>3237</v>
      </c>
      <c r="C146" s="570"/>
      <c r="D146" s="570"/>
      <c r="E146" s="570"/>
      <c r="F146" s="570"/>
      <c r="G146" s="570"/>
      <c r="H146" s="570"/>
      <c r="I146" s="570"/>
      <c r="J146" s="570">
        <v>502500</v>
      </c>
      <c r="K146" s="570"/>
      <c r="L146" s="570"/>
      <c r="M146" s="570"/>
      <c r="N146" s="571"/>
      <c r="O146" s="570"/>
      <c r="P146" s="570"/>
      <c r="Q146" s="570"/>
      <c r="R146" s="570"/>
    </row>
    <row r="147" spans="1:18" ht="28.5" x14ac:dyDescent="0.25">
      <c r="A147" s="459">
        <v>45010</v>
      </c>
      <c r="B147" s="610" t="s">
        <v>3712</v>
      </c>
      <c r="C147" s="570"/>
      <c r="D147" s="570"/>
      <c r="E147" s="570"/>
      <c r="F147" s="570"/>
      <c r="G147" s="570"/>
      <c r="H147" s="570"/>
      <c r="I147" s="570"/>
      <c r="J147" s="570"/>
      <c r="K147" s="570"/>
      <c r="L147" s="570"/>
      <c r="M147" s="570"/>
      <c r="N147" s="571"/>
      <c r="O147" s="570">
        <v>6490000</v>
      </c>
      <c r="P147" s="570"/>
      <c r="Q147" s="570"/>
      <c r="R147" s="570"/>
    </row>
    <row r="148" spans="1:18" ht="28.5" x14ac:dyDescent="0.25">
      <c r="A148" s="459"/>
      <c r="B148" s="611" t="s">
        <v>3713</v>
      </c>
      <c r="C148" s="570"/>
      <c r="D148" s="570"/>
      <c r="E148" s="570"/>
      <c r="F148" s="570"/>
      <c r="G148" s="570"/>
      <c r="H148" s="570"/>
      <c r="I148" s="570"/>
      <c r="J148" s="570"/>
      <c r="K148" s="570"/>
      <c r="L148" s="570"/>
      <c r="M148" s="570"/>
      <c r="N148" s="571"/>
      <c r="O148" s="570"/>
      <c r="P148" s="570">
        <f>40000*10</f>
        <v>400000</v>
      </c>
      <c r="Q148" s="570"/>
      <c r="R148" s="570"/>
    </row>
    <row r="149" spans="1:18" ht="15" x14ac:dyDescent="0.25">
      <c r="A149" s="459">
        <v>45012</v>
      </c>
      <c r="B149" s="573" t="s">
        <v>3210</v>
      </c>
      <c r="C149" s="570">
        <v>49500</v>
      </c>
      <c r="D149" s="570"/>
      <c r="E149" s="570"/>
      <c r="F149" s="570"/>
      <c r="G149" s="570"/>
      <c r="H149" s="570"/>
      <c r="I149" s="570"/>
      <c r="J149" s="570"/>
      <c r="K149" s="570"/>
      <c r="L149" s="570"/>
      <c r="M149" s="570"/>
      <c r="N149" s="571"/>
      <c r="O149" s="570"/>
      <c r="P149" s="570"/>
      <c r="Q149" s="570"/>
      <c r="R149" s="570"/>
    </row>
    <row r="150" spans="1:18" ht="15" x14ac:dyDescent="0.25">
      <c r="A150" s="459"/>
      <c r="B150" s="572" t="s">
        <v>3213</v>
      </c>
      <c r="C150" s="570"/>
      <c r="D150" s="570"/>
      <c r="E150" s="570"/>
      <c r="F150" s="570">
        <f>591651+429500</f>
        <v>1021151</v>
      </c>
      <c r="G150" s="570"/>
      <c r="H150" s="570"/>
      <c r="I150" s="570"/>
      <c r="J150" s="570"/>
      <c r="K150" s="570"/>
      <c r="L150" s="570"/>
      <c r="M150" s="570"/>
      <c r="N150" s="571"/>
      <c r="O150" s="570"/>
      <c r="P150" s="570"/>
      <c r="Q150" s="570"/>
      <c r="R150" s="570"/>
    </row>
    <row r="151" spans="1:18" ht="15" x14ac:dyDescent="0.25">
      <c r="A151" s="459"/>
      <c r="B151" s="572" t="s">
        <v>3224</v>
      </c>
      <c r="C151" s="570"/>
      <c r="D151" s="570"/>
      <c r="E151" s="570"/>
      <c r="F151" s="570">
        <v>3730000</v>
      </c>
      <c r="G151" s="570"/>
      <c r="H151" s="570"/>
      <c r="I151" s="570"/>
      <c r="J151" s="570"/>
      <c r="K151" s="570"/>
      <c r="L151" s="570"/>
      <c r="M151" s="570"/>
      <c r="N151" s="571"/>
      <c r="O151" s="570"/>
      <c r="P151" s="570"/>
      <c r="Q151" s="570"/>
      <c r="R151" s="570"/>
    </row>
    <row r="152" spans="1:18" ht="15" x14ac:dyDescent="0.25">
      <c r="A152" s="459">
        <v>45014</v>
      </c>
      <c r="B152" s="569" t="s">
        <v>3252</v>
      </c>
      <c r="C152" s="570"/>
      <c r="D152" s="570"/>
      <c r="E152" s="570"/>
      <c r="F152" s="570"/>
      <c r="G152" s="570"/>
      <c r="H152" s="570">
        <v>45000</v>
      </c>
      <c r="I152" s="570"/>
      <c r="J152" s="570"/>
      <c r="K152" s="570"/>
      <c r="L152" s="570"/>
      <c r="M152" s="570"/>
      <c r="N152" s="571"/>
      <c r="O152" s="570"/>
      <c r="P152" s="570"/>
      <c r="Q152" s="570"/>
      <c r="R152" s="570"/>
    </row>
    <row r="153" spans="1:18" ht="15" x14ac:dyDescent="0.25">
      <c r="A153" s="459"/>
      <c r="B153" s="572" t="s">
        <v>4145</v>
      </c>
      <c r="C153" s="570"/>
      <c r="D153" s="570"/>
      <c r="E153" s="570"/>
      <c r="F153" s="570"/>
      <c r="G153" s="570">
        <v>101500</v>
      </c>
      <c r="H153" s="570"/>
      <c r="I153" s="570"/>
      <c r="J153" s="570"/>
      <c r="K153" s="570"/>
      <c r="L153" s="570"/>
      <c r="M153" s="570"/>
      <c r="N153" s="571"/>
      <c r="O153" s="570"/>
      <c r="P153" s="570"/>
      <c r="Q153" s="570"/>
      <c r="R153" s="570"/>
    </row>
    <row r="154" spans="1:18" ht="15" x14ac:dyDescent="0.25">
      <c r="A154" s="459">
        <v>45015</v>
      </c>
      <c r="B154" s="720" t="s">
        <v>4146</v>
      </c>
      <c r="C154" s="570"/>
      <c r="D154" s="570"/>
      <c r="E154" s="570"/>
      <c r="F154" s="570"/>
      <c r="G154" s="570"/>
      <c r="H154" s="570"/>
      <c r="I154" s="570"/>
      <c r="J154" s="570"/>
      <c r="K154" s="570"/>
      <c r="L154" s="570">
        <f>2017000/2</f>
        <v>1008500</v>
      </c>
      <c r="M154" s="570"/>
      <c r="N154" s="571"/>
      <c r="O154" s="570"/>
      <c r="P154" s="570"/>
      <c r="Q154" s="570"/>
      <c r="R154" s="570"/>
    </row>
    <row r="155" spans="1:18" ht="15" x14ac:dyDescent="0.25">
      <c r="A155" s="459"/>
      <c r="B155" s="720" t="s">
        <v>4147</v>
      </c>
      <c r="C155" s="570"/>
      <c r="D155" s="570"/>
      <c r="E155" s="570"/>
      <c r="F155" s="570"/>
      <c r="G155" s="570"/>
      <c r="H155" s="570"/>
      <c r="I155" s="570"/>
      <c r="J155" s="570"/>
      <c r="K155" s="570"/>
      <c r="L155" s="570">
        <f>4855000/2</f>
        <v>2427500</v>
      </c>
      <c r="M155" s="570"/>
      <c r="N155" s="571"/>
      <c r="O155" s="570"/>
      <c r="P155" s="570"/>
      <c r="Q155" s="570"/>
      <c r="R155" s="570"/>
    </row>
    <row r="156" spans="1:18" ht="15" x14ac:dyDescent="0.25">
      <c r="A156" s="459"/>
      <c r="B156" s="720" t="s">
        <v>4148</v>
      </c>
      <c r="C156" s="570"/>
      <c r="D156" s="570"/>
      <c r="E156" s="570"/>
      <c r="F156" s="570"/>
      <c r="G156" s="570"/>
      <c r="H156" s="570"/>
      <c r="I156" s="570"/>
      <c r="J156" s="570"/>
      <c r="K156" s="570"/>
      <c r="L156" s="570">
        <f>1705000/2</f>
        <v>852500</v>
      </c>
      <c r="M156" s="570"/>
      <c r="N156" s="571"/>
      <c r="O156" s="570"/>
      <c r="P156" s="570"/>
      <c r="Q156" s="570"/>
      <c r="R156" s="570"/>
    </row>
    <row r="157" spans="1:18" ht="15" x14ac:dyDescent="0.25">
      <c r="A157" s="459">
        <v>45016</v>
      </c>
      <c r="B157" s="610" t="s">
        <v>2625</v>
      </c>
      <c r="C157" s="570"/>
      <c r="D157" s="570"/>
      <c r="E157" s="570"/>
      <c r="F157" s="570"/>
      <c r="G157" s="570"/>
      <c r="H157" s="570"/>
      <c r="I157" s="570"/>
      <c r="J157" s="570"/>
      <c r="K157" s="570"/>
      <c r="L157" s="570"/>
      <c r="M157" s="570"/>
      <c r="N157" s="571"/>
      <c r="O157" s="570">
        <v>22900000</v>
      </c>
      <c r="P157" s="570"/>
      <c r="Q157" s="570"/>
      <c r="R157" s="570"/>
    </row>
    <row r="158" spans="1:18" ht="15" x14ac:dyDescent="0.25">
      <c r="A158" s="459"/>
      <c r="B158" s="610" t="s">
        <v>2626</v>
      </c>
      <c r="C158" s="570"/>
      <c r="D158" s="570"/>
      <c r="E158" s="570"/>
      <c r="F158" s="570"/>
      <c r="G158" s="570"/>
      <c r="H158" s="570"/>
      <c r="I158" s="570"/>
      <c r="J158" s="570"/>
      <c r="K158" s="570"/>
      <c r="L158" s="570"/>
      <c r="M158" s="570">
        <v>5308500</v>
      </c>
      <c r="N158" s="571"/>
      <c r="O158" s="570"/>
      <c r="P158" s="570"/>
      <c r="Q158" s="570"/>
      <c r="R158" s="570"/>
    </row>
    <row r="159" spans="1:18" ht="15" x14ac:dyDescent="0.25">
      <c r="A159" s="716"/>
      <c r="B159" s="610" t="s">
        <v>2627</v>
      </c>
      <c r="C159" s="570"/>
      <c r="D159" s="570"/>
      <c r="E159" s="570"/>
      <c r="F159" s="570"/>
      <c r="G159" s="570"/>
      <c r="H159" s="570"/>
      <c r="I159" s="570"/>
      <c r="J159" s="570"/>
      <c r="K159" s="570"/>
      <c r="L159" s="570"/>
      <c r="M159" s="570"/>
      <c r="N159" s="571"/>
      <c r="O159" s="570"/>
      <c r="P159" s="570">
        <v>1400000</v>
      </c>
      <c r="Q159" s="570"/>
      <c r="R159" s="570"/>
    </row>
    <row r="160" spans="1:18" ht="16.5" x14ac:dyDescent="0.25">
      <c r="A160" s="462"/>
      <c r="B160" s="577" t="s">
        <v>38</v>
      </c>
      <c r="C160" s="578">
        <f t="shared" ref="C160:R160" si="2">SUM(C116:C159)</f>
        <v>225550</v>
      </c>
      <c r="D160" s="578">
        <f t="shared" si="2"/>
        <v>0</v>
      </c>
      <c r="E160" s="578">
        <f t="shared" si="2"/>
        <v>535000</v>
      </c>
      <c r="F160" s="578">
        <f t="shared" si="2"/>
        <v>9816151</v>
      </c>
      <c r="G160" s="578">
        <f t="shared" si="2"/>
        <v>101500</v>
      </c>
      <c r="H160" s="578">
        <f t="shared" si="2"/>
        <v>895000</v>
      </c>
      <c r="I160" s="578">
        <f t="shared" si="2"/>
        <v>1925000</v>
      </c>
      <c r="J160" s="578">
        <f t="shared" si="2"/>
        <v>1005000</v>
      </c>
      <c r="K160" s="578">
        <f t="shared" si="2"/>
        <v>551226</v>
      </c>
      <c r="L160" s="578">
        <f t="shared" si="2"/>
        <v>4288500</v>
      </c>
      <c r="M160" s="578">
        <f t="shared" si="2"/>
        <v>5308500</v>
      </c>
      <c r="N160" s="578">
        <f t="shared" si="2"/>
        <v>1995821</v>
      </c>
      <c r="O160" s="578">
        <f t="shared" si="2"/>
        <v>35990000</v>
      </c>
      <c r="P160" s="578">
        <f t="shared" si="2"/>
        <v>2840000</v>
      </c>
      <c r="Q160" s="578">
        <f t="shared" si="2"/>
        <v>0</v>
      </c>
      <c r="R160" s="578">
        <f t="shared" si="2"/>
        <v>0</v>
      </c>
    </row>
    <row r="161" spans="1:18" ht="16.5" x14ac:dyDescent="0.25">
      <c r="A161" s="461" t="s">
        <v>2552</v>
      </c>
      <c r="B161" s="579"/>
      <c r="C161" s="580"/>
      <c r="D161" s="580"/>
      <c r="E161" s="580"/>
      <c r="F161" s="580"/>
      <c r="G161" s="580"/>
      <c r="H161" s="580"/>
      <c r="I161" s="580"/>
      <c r="J161" s="580"/>
      <c r="K161" s="580"/>
      <c r="L161" s="580"/>
      <c r="M161" s="580"/>
      <c r="N161" s="581"/>
      <c r="O161" s="580"/>
      <c r="P161" s="580"/>
      <c r="Q161" s="582"/>
      <c r="R161" s="582"/>
    </row>
    <row r="162" spans="1:18" ht="28.5" x14ac:dyDescent="0.25">
      <c r="A162" s="458">
        <v>45017</v>
      </c>
      <c r="B162" s="611" t="s">
        <v>4203</v>
      </c>
      <c r="C162" s="570"/>
      <c r="D162" s="570"/>
      <c r="E162" s="570"/>
      <c r="F162" s="570"/>
      <c r="G162" s="570"/>
      <c r="H162" s="570"/>
      <c r="I162" s="570"/>
      <c r="J162" s="570"/>
      <c r="K162" s="570"/>
      <c r="L162" s="570"/>
      <c r="M162" s="570"/>
      <c r="N162" s="571"/>
      <c r="O162" s="570"/>
      <c r="P162" s="570">
        <f>40000*9</f>
        <v>360000</v>
      </c>
      <c r="Q162" s="570"/>
      <c r="R162" s="570"/>
    </row>
    <row r="163" spans="1:18" ht="15" x14ac:dyDescent="0.25">
      <c r="A163" s="459"/>
      <c r="B163" s="585" t="s">
        <v>3218</v>
      </c>
      <c r="C163" s="570"/>
      <c r="D163" s="570"/>
      <c r="E163" s="570">
        <v>225000</v>
      </c>
      <c r="F163" s="570"/>
      <c r="G163" s="570"/>
      <c r="H163" s="570"/>
      <c r="I163" s="570"/>
      <c r="J163" s="570"/>
      <c r="K163" s="570"/>
      <c r="L163" s="570"/>
      <c r="M163" s="570"/>
      <c r="N163" s="571"/>
      <c r="O163" s="570"/>
      <c r="P163" s="570"/>
      <c r="Q163" s="570"/>
      <c r="R163" s="570"/>
    </row>
    <row r="164" spans="1:18" ht="15" x14ac:dyDescent="0.25">
      <c r="A164" s="459"/>
      <c r="B164" s="585" t="s">
        <v>3242</v>
      </c>
      <c r="C164" s="570"/>
      <c r="D164" s="570"/>
      <c r="E164" s="570"/>
      <c r="F164" s="570">
        <v>136000</v>
      </c>
      <c r="G164" s="570"/>
      <c r="H164" s="570"/>
      <c r="I164" s="570"/>
      <c r="J164" s="570"/>
      <c r="K164" s="570"/>
      <c r="L164" s="570"/>
      <c r="M164" s="570"/>
      <c r="N164" s="571"/>
      <c r="O164" s="570"/>
      <c r="P164" s="570"/>
      <c r="Q164" s="570"/>
      <c r="R164" s="570"/>
    </row>
    <row r="165" spans="1:18" ht="15" x14ac:dyDescent="0.25">
      <c r="A165" s="459"/>
      <c r="B165" s="569" t="s">
        <v>4390</v>
      </c>
      <c r="C165" s="570"/>
      <c r="D165" s="570">
        <v>221000</v>
      </c>
      <c r="E165" s="570"/>
      <c r="F165" s="570"/>
      <c r="G165" s="570"/>
      <c r="H165" s="570"/>
      <c r="I165" s="570"/>
      <c r="J165" s="570"/>
      <c r="K165" s="570"/>
      <c r="L165" s="570"/>
      <c r="M165" s="570"/>
      <c r="N165" s="571"/>
      <c r="O165" s="570"/>
      <c r="P165" s="570"/>
      <c r="Q165" s="570"/>
      <c r="R165" s="570"/>
    </row>
    <row r="166" spans="1:18" ht="15" x14ac:dyDescent="0.25">
      <c r="A166" s="459">
        <v>45019</v>
      </c>
      <c r="B166" s="572" t="s">
        <v>3210</v>
      </c>
      <c r="C166" s="570">
        <v>52000</v>
      </c>
      <c r="D166" s="570"/>
      <c r="E166" s="570"/>
      <c r="F166" s="570"/>
      <c r="G166" s="570"/>
      <c r="H166" s="570"/>
      <c r="I166" s="570"/>
      <c r="J166" s="570"/>
      <c r="K166" s="570"/>
      <c r="L166" s="570"/>
      <c r="M166" s="570"/>
      <c r="N166" s="571"/>
      <c r="O166" s="570"/>
      <c r="P166" s="570"/>
      <c r="Q166" s="570"/>
      <c r="R166" s="570"/>
    </row>
    <row r="167" spans="1:18" ht="15" x14ac:dyDescent="0.25">
      <c r="A167" s="459"/>
      <c r="B167" s="572" t="s">
        <v>4391</v>
      </c>
      <c r="C167" s="570"/>
      <c r="D167" s="570"/>
      <c r="E167" s="570"/>
      <c r="F167" s="570"/>
      <c r="G167" s="570"/>
      <c r="H167" s="570"/>
      <c r="I167" s="570">
        <v>950000</v>
      </c>
      <c r="J167" s="570"/>
      <c r="K167" s="570"/>
      <c r="L167" s="570"/>
      <c r="M167" s="570"/>
      <c r="N167" s="571"/>
      <c r="O167" s="570"/>
      <c r="P167" s="570"/>
      <c r="Q167" s="570"/>
      <c r="R167" s="570"/>
    </row>
    <row r="168" spans="1:18" ht="15" x14ac:dyDescent="0.25">
      <c r="A168" s="459"/>
      <c r="B168" s="573" t="s">
        <v>3226</v>
      </c>
      <c r="C168" s="570"/>
      <c r="D168" s="570"/>
      <c r="E168" s="570"/>
      <c r="F168" s="570"/>
      <c r="G168" s="570"/>
      <c r="H168" s="570">
        <v>150000</v>
      </c>
      <c r="I168" s="570"/>
      <c r="J168" s="570"/>
      <c r="K168" s="570"/>
      <c r="L168" s="570"/>
      <c r="M168" s="570"/>
      <c r="N168" s="571"/>
      <c r="O168" s="570"/>
      <c r="P168" s="570"/>
      <c r="Q168" s="570"/>
      <c r="R168" s="570"/>
    </row>
    <row r="169" spans="1:18" ht="15" x14ac:dyDescent="0.25">
      <c r="A169" s="716"/>
      <c r="B169" s="719" t="s">
        <v>4392</v>
      </c>
      <c r="C169" s="570"/>
      <c r="D169" s="570"/>
      <c r="E169" s="570">
        <v>15000</v>
      </c>
      <c r="F169" s="570"/>
      <c r="G169" s="570"/>
      <c r="H169" s="570"/>
      <c r="I169" s="570"/>
      <c r="J169" s="570"/>
      <c r="K169" s="570"/>
      <c r="L169" s="570"/>
      <c r="M169" s="570"/>
      <c r="N169" s="571"/>
      <c r="O169" s="570"/>
      <c r="P169" s="570"/>
      <c r="Q169" s="570"/>
      <c r="R169" s="570"/>
    </row>
    <row r="170" spans="1:18" ht="15" x14ac:dyDescent="0.25">
      <c r="A170" s="459">
        <v>45020</v>
      </c>
      <c r="B170" s="569" t="s">
        <v>4393</v>
      </c>
      <c r="C170" s="570"/>
      <c r="D170" s="570"/>
      <c r="E170" s="570"/>
      <c r="F170" s="570"/>
      <c r="G170" s="570">
        <v>2416500</v>
      </c>
      <c r="H170" s="570"/>
      <c r="I170" s="570"/>
      <c r="J170" s="570"/>
      <c r="K170" s="570"/>
      <c r="L170" s="570"/>
      <c r="M170" s="570"/>
      <c r="N170" s="571"/>
      <c r="O170" s="570"/>
      <c r="P170" s="570"/>
      <c r="Q170" s="570"/>
      <c r="R170" s="570"/>
    </row>
    <row r="171" spans="1:18" ht="15" x14ac:dyDescent="0.25">
      <c r="A171" s="459"/>
      <c r="B171" s="569" t="s">
        <v>4394</v>
      </c>
      <c r="C171" s="570"/>
      <c r="D171" s="570"/>
      <c r="E171" s="570"/>
      <c r="F171" s="570"/>
      <c r="G171" s="570">
        <v>275000</v>
      </c>
      <c r="H171" s="570"/>
      <c r="I171" s="570"/>
      <c r="J171" s="570"/>
      <c r="K171" s="570"/>
      <c r="L171" s="570"/>
      <c r="M171" s="570"/>
      <c r="N171" s="571"/>
      <c r="O171" s="570"/>
      <c r="P171" s="570"/>
      <c r="Q171" s="570"/>
      <c r="R171" s="570"/>
    </row>
    <row r="172" spans="1:18" ht="15" x14ac:dyDescent="0.25">
      <c r="A172" s="459"/>
      <c r="B172" s="569" t="s">
        <v>4395</v>
      </c>
      <c r="C172" s="570"/>
      <c r="D172" s="570"/>
      <c r="E172" s="570">
        <v>247000</v>
      </c>
      <c r="F172" s="570"/>
      <c r="G172" s="570"/>
      <c r="H172" s="570"/>
      <c r="I172" s="570"/>
      <c r="J172" s="570"/>
      <c r="K172" s="570"/>
      <c r="L172" s="570"/>
      <c r="M172" s="570"/>
      <c r="N172" s="571"/>
      <c r="O172" s="570"/>
      <c r="P172" s="570"/>
      <c r="Q172" s="570"/>
      <c r="R172" s="570"/>
    </row>
    <row r="173" spans="1:18" ht="15" x14ac:dyDescent="0.25">
      <c r="A173" s="459"/>
      <c r="B173" s="569" t="s">
        <v>3212</v>
      </c>
      <c r="C173" s="570"/>
      <c r="D173" s="570"/>
      <c r="E173" s="570"/>
      <c r="F173" s="570"/>
      <c r="G173" s="570"/>
      <c r="H173" s="570">
        <v>100000</v>
      </c>
      <c r="I173" s="570"/>
      <c r="J173" s="570"/>
      <c r="K173" s="570"/>
      <c r="L173" s="570"/>
      <c r="M173" s="570"/>
      <c r="N173" s="571"/>
      <c r="O173" s="570"/>
      <c r="P173" s="570"/>
      <c r="Q173" s="570"/>
      <c r="R173" s="570"/>
    </row>
    <row r="174" spans="1:18" ht="15" x14ac:dyDescent="0.25">
      <c r="A174" s="459">
        <v>45021</v>
      </c>
      <c r="B174" s="610" t="s">
        <v>4388</v>
      </c>
      <c r="C174" s="570"/>
      <c r="D174" s="570"/>
      <c r="E174" s="570"/>
      <c r="F174" s="570"/>
      <c r="G174" s="570"/>
      <c r="H174" s="570"/>
      <c r="I174" s="570"/>
      <c r="J174" s="570"/>
      <c r="K174" s="570"/>
      <c r="L174" s="570"/>
      <c r="M174" s="570"/>
      <c r="N174" s="714">
        <v>1995821</v>
      </c>
      <c r="O174" s="570"/>
      <c r="P174" s="570"/>
      <c r="Q174" s="570"/>
      <c r="R174" s="570"/>
    </row>
    <row r="175" spans="1:18" ht="15" x14ac:dyDescent="0.25">
      <c r="A175" s="459">
        <v>45022</v>
      </c>
      <c r="B175" s="572" t="s">
        <v>3215</v>
      </c>
      <c r="C175" s="570"/>
      <c r="D175" s="570"/>
      <c r="E175" s="570"/>
      <c r="F175" s="570"/>
      <c r="G175" s="570"/>
      <c r="H175" s="570">
        <v>150000</v>
      </c>
      <c r="I175" s="570"/>
      <c r="J175" s="570"/>
      <c r="K175" s="570"/>
      <c r="L175" s="570"/>
      <c r="M175" s="570"/>
      <c r="N175" s="571"/>
      <c r="O175" s="570"/>
      <c r="P175" s="570"/>
      <c r="Q175" s="570"/>
      <c r="R175" s="570"/>
    </row>
    <row r="176" spans="1:18" ht="15" x14ac:dyDescent="0.25">
      <c r="A176" s="459"/>
      <c r="B176" s="572" t="s">
        <v>4396</v>
      </c>
      <c r="C176" s="570"/>
      <c r="D176" s="570"/>
      <c r="E176" s="570"/>
      <c r="F176" s="570"/>
      <c r="G176" s="570"/>
      <c r="H176" s="570"/>
      <c r="I176" s="570">
        <f>1150000+1000000</f>
        <v>2150000</v>
      </c>
      <c r="J176" s="570"/>
      <c r="K176" s="570"/>
      <c r="L176" s="570"/>
      <c r="M176" s="570"/>
      <c r="N176" s="571"/>
      <c r="O176" s="570"/>
      <c r="P176" s="570"/>
      <c r="Q176" s="570"/>
      <c r="R176" s="570"/>
    </row>
    <row r="177" spans="1:18" ht="15" x14ac:dyDescent="0.25">
      <c r="A177" s="459"/>
      <c r="B177" s="572" t="s">
        <v>3222</v>
      </c>
      <c r="C177" s="570"/>
      <c r="D177" s="570"/>
      <c r="E177" s="570"/>
      <c r="F177" s="570"/>
      <c r="G177" s="570"/>
      <c r="H177" s="570">
        <v>150000</v>
      </c>
      <c r="I177" s="570"/>
      <c r="J177" s="570"/>
      <c r="K177" s="570"/>
      <c r="L177" s="570"/>
      <c r="M177" s="570"/>
      <c r="N177" s="571"/>
      <c r="O177" s="570"/>
      <c r="P177" s="570"/>
      <c r="Q177" s="570"/>
      <c r="R177" s="570"/>
    </row>
    <row r="178" spans="1:18" ht="15" x14ac:dyDescent="0.25">
      <c r="A178" s="459">
        <v>45024</v>
      </c>
      <c r="B178" s="610" t="s">
        <v>3207</v>
      </c>
      <c r="C178" s="570"/>
      <c r="D178" s="570"/>
      <c r="E178" s="570"/>
      <c r="F178" s="570"/>
      <c r="G178" s="570"/>
      <c r="H178" s="570"/>
      <c r="I178" s="570"/>
      <c r="J178" s="570"/>
      <c r="K178" s="570">
        <v>70816</v>
      </c>
      <c r="L178" s="570"/>
      <c r="M178" s="570"/>
      <c r="N178" s="571"/>
      <c r="O178" s="570"/>
      <c r="P178" s="570"/>
      <c r="Q178" s="570"/>
      <c r="R178" s="570"/>
    </row>
    <row r="179" spans="1:18" ht="15" x14ac:dyDescent="0.25">
      <c r="A179" s="459"/>
      <c r="B179" s="721" t="s">
        <v>3208</v>
      </c>
      <c r="C179" s="570"/>
      <c r="D179" s="570"/>
      <c r="E179" s="570"/>
      <c r="F179" s="570"/>
      <c r="G179" s="570"/>
      <c r="H179" s="570"/>
      <c r="I179" s="570"/>
      <c r="J179" s="570"/>
      <c r="K179" s="570">
        <v>255200</v>
      </c>
      <c r="L179" s="570"/>
      <c r="M179" s="570"/>
      <c r="N179" s="571"/>
      <c r="O179" s="570"/>
      <c r="P179" s="570"/>
      <c r="Q179" s="570"/>
      <c r="R179" s="570"/>
    </row>
    <row r="180" spans="1:18" ht="28.5" x14ac:dyDescent="0.25">
      <c r="A180" s="459"/>
      <c r="B180" s="610" t="s">
        <v>4204</v>
      </c>
      <c r="C180" s="570"/>
      <c r="D180" s="570"/>
      <c r="E180" s="570"/>
      <c r="F180" s="570"/>
      <c r="G180" s="570"/>
      <c r="H180" s="570"/>
      <c r="I180" s="570"/>
      <c r="J180" s="570"/>
      <c r="K180" s="570"/>
      <c r="L180" s="570"/>
      <c r="M180" s="570"/>
      <c r="N180" s="571"/>
      <c r="O180" s="570">
        <v>5930000</v>
      </c>
      <c r="P180" s="570"/>
      <c r="Q180" s="570"/>
      <c r="R180" s="570"/>
    </row>
    <row r="181" spans="1:18" ht="28.5" x14ac:dyDescent="0.25">
      <c r="A181" s="459"/>
      <c r="B181" s="611" t="s">
        <v>4205</v>
      </c>
      <c r="C181" s="570"/>
      <c r="D181" s="570"/>
      <c r="E181" s="570"/>
      <c r="F181" s="570"/>
      <c r="G181" s="570"/>
      <c r="H181" s="570"/>
      <c r="I181" s="570"/>
      <c r="J181" s="570"/>
      <c r="K181" s="570"/>
      <c r="L181" s="570"/>
      <c r="M181" s="570"/>
      <c r="N181" s="571"/>
      <c r="O181" s="570"/>
      <c r="P181" s="570">
        <f>40000*8</f>
        <v>320000</v>
      </c>
      <c r="Q181" s="570"/>
      <c r="R181" s="570"/>
    </row>
    <row r="182" spans="1:18" ht="15" x14ac:dyDescent="0.25">
      <c r="A182" s="459">
        <v>45026</v>
      </c>
      <c r="B182" s="569" t="s">
        <v>3219</v>
      </c>
      <c r="C182" s="570"/>
      <c r="D182" s="570">
        <v>45000</v>
      </c>
      <c r="E182" s="570"/>
      <c r="F182" s="570"/>
      <c r="G182" s="570"/>
      <c r="H182" s="570"/>
      <c r="I182" s="570"/>
      <c r="J182" s="570"/>
      <c r="K182" s="570"/>
      <c r="L182" s="570"/>
      <c r="M182" s="570"/>
      <c r="N182" s="571"/>
      <c r="O182" s="570"/>
      <c r="P182" s="570"/>
      <c r="Q182" s="570"/>
      <c r="R182" s="570"/>
    </row>
    <row r="183" spans="1:18" ht="15" x14ac:dyDescent="0.25">
      <c r="A183" s="459"/>
      <c r="B183" s="585" t="s">
        <v>3210</v>
      </c>
      <c r="C183" s="570">
        <v>51800</v>
      </c>
      <c r="D183" s="570"/>
      <c r="E183" s="570"/>
      <c r="F183" s="570"/>
      <c r="G183" s="570"/>
      <c r="H183" s="570"/>
      <c r="I183" s="570"/>
      <c r="J183" s="570"/>
      <c r="K183" s="570"/>
      <c r="L183" s="570"/>
      <c r="M183" s="570"/>
      <c r="N183" s="571"/>
      <c r="O183" s="570"/>
      <c r="P183" s="570"/>
      <c r="Q183" s="570"/>
      <c r="R183" s="570"/>
    </row>
    <row r="184" spans="1:18" ht="15" x14ac:dyDescent="0.25">
      <c r="A184" s="459"/>
      <c r="B184" s="572" t="s">
        <v>4140</v>
      </c>
      <c r="C184" s="570"/>
      <c r="D184" s="570"/>
      <c r="E184" s="570"/>
      <c r="F184" s="570"/>
      <c r="G184" s="570"/>
      <c r="H184" s="570"/>
      <c r="I184" s="570"/>
      <c r="J184" s="570"/>
      <c r="K184" s="570">
        <v>52000</v>
      </c>
      <c r="L184" s="570"/>
      <c r="M184" s="570"/>
      <c r="N184" s="571"/>
      <c r="O184" s="570"/>
      <c r="P184" s="570"/>
      <c r="Q184" s="570"/>
      <c r="R184" s="570"/>
    </row>
    <row r="185" spans="1:18" ht="15" x14ac:dyDescent="0.25">
      <c r="A185" s="459"/>
      <c r="B185" s="585" t="s">
        <v>3214</v>
      </c>
      <c r="C185" s="570"/>
      <c r="D185" s="570"/>
      <c r="E185" s="570"/>
      <c r="F185" s="570"/>
      <c r="G185" s="570"/>
      <c r="H185" s="570">
        <v>150000</v>
      </c>
      <c r="I185" s="570"/>
      <c r="J185" s="570"/>
      <c r="K185" s="570"/>
      <c r="L185" s="570"/>
      <c r="M185" s="570"/>
      <c r="N185" s="571"/>
      <c r="O185" s="570"/>
      <c r="P185" s="570"/>
      <c r="Q185" s="570"/>
      <c r="R185" s="570"/>
    </row>
    <row r="186" spans="1:18" ht="42.75" x14ac:dyDescent="0.25">
      <c r="A186" s="459">
        <v>45027</v>
      </c>
      <c r="B186" s="585" t="s">
        <v>4398</v>
      </c>
      <c r="C186" s="570"/>
      <c r="D186" s="570"/>
      <c r="E186" s="570"/>
      <c r="F186" s="570"/>
      <c r="G186" s="570"/>
      <c r="H186" s="570"/>
      <c r="I186" s="570">
        <f>293000+623000</f>
        <v>916000</v>
      </c>
      <c r="J186" s="570"/>
      <c r="K186" s="570"/>
      <c r="L186" s="570"/>
      <c r="M186" s="570"/>
      <c r="N186" s="571"/>
      <c r="O186" s="570"/>
      <c r="P186" s="570"/>
      <c r="Q186" s="570"/>
      <c r="R186" s="570"/>
    </row>
    <row r="187" spans="1:18" ht="15" x14ac:dyDescent="0.25">
      <c r="A187" s="459"/>
      <c r="B187" s="585" t="s">
        <v>3250</v>
      </c>
      <c r="C187" s="570"/>
      <c r="D187" s="570"/>
      <c r="E187" s="570"/>
      <c r="F187" s="570"/>
      <c r="G187" s="570"/>
      <c r="H187" s="570"/>
      <c r="I187" s="570">
        <v>2104350</v>
      </c>
      <c r="J187" s="570"/>
      <c r="K187" s="570"/>
      <c r="L187" s="570"/>
      <c r="M187" s="570"/>
      <c r="N187" s="571"/>
      <c r="O187" s="570"/>
      <c r="P187" s="570"/>
      <c r="Q187" s="570"/>
      <c r="R187" s="570"/>
    </row>
    <row r="188" spans="1:18" ht="28.5" x14ac:dyDescent="0.25">
      <c r="A188" s="459">
        <v>45031</v>
      </c>
      <c r="B188" s="611" t="s">
        <v>4206</v>
      </c>
      <c r="C188" s="570"/>
      <c r="D188" s="570"/>
      <c r="E188" s="570"/>
      <c r="F188" s="570"/>
      <c r="G188" s="570"/>
      <c r="H188" s="570"/>
      <c r="I188" s="570"/>
      <c r="J188" s="570"/>
      <c r="K188" s="570"/>
      <c r="L188" s="570"/>
      <c r="M188" s="570"/>
      <c r="N188" s="571"/>
      <c r="O188" s="570"/>
      <c r="P188" s="570">
        <f>40000*9</f>
        <v>360000</v>
      </c>
      <c r="Q188" s="570"/>
      <c r="R188" s="570"/>
    </row>
    <row r="189" spans="1:18" ht="15" x14ac:dyDescent="0.25">
      <c r="A189" s="459"/>
      <c r="B189" s="572" t="s">
        <v>4397</v>
      </c>
      <c r="C189" s="570">
        <v>240000</v>
      </c>
      <c r="D189" s="570"/>
      <c r="E189" s="570"/>
      <c r="F189" s="570"/>
      <c r="G189" s="570"/>
      <c r="H189" s="570"/>
      <c r="I189" s="570"/>
      <c r="J189" s="570"/>
      <c r="K189" s="570"/>
      <c r="L189" s="570"/>
      <c r="M189" s="570"/>
      <c r="N189" s="571"/>
      <c r="O189" s="570"/>
      <c r="P189" s="570"/>
      <c r="Q189" s="570"/>
      <c r="R189" s="570"/>
    </row>
    <row r="190" spans="1:18" ht="15" x14ac:dyDescent="0.25">
      <c r="A190" s="459">
        <v>45033</v>
      </c>
      <c r="B190" s="585" t="s">
        <v>3210</v>
      </c>
      <c r="C190" s="570">
        <v>50600</v>
      </c>
      <c r="D190" s="570"/>
      <c r="E190" s="570"/>
      <c r="F190" s="570"/>
      <c r="G190" s="570"/>
      <c r="H190" s="570"/>
      <c r="I190" s="570"/>
      <c r="J190" s="570"/>
      <c r="K190" s="570"/>
      <c r="L190" s="570"/>
      <c r="M190" s="570"/>
      <c r="N190" s="571"/>
      <c r="O190" s="570"/>
      <c r="P190" s="570"/>
      <c r="Q190" s="570"/>
      <c r="R190" s="570"/>
    </row>
    <row r="191" spans="1:18" ht="15" x14ac:dyDescent="0.25">
      <c r="A191" s="459"/>
      <c r="B191" s="585" t="s">
        <v>3224</v>
      </c>
      <c r="C191" s="570"/>
      <c r="D191" s="570"/>
      <c r="E191" s="570"/>
      <c r="F191" s="570">
        <v>3850000</v>
      </c>
      <c r="G191" s="570"/>
      <c r="H191" s="570"/>
      <c r="I191" s="570"/>
      <c r="J191" s="570"/>
      <c r="K191" s="570"/>
      <c r="L191" s="570"/>
      <c r="M191" s="570"/>
      <c r="N191" s="571"/>
      <c r="O191" s="570"/>
      <c r="P191" s="570"/>
      <c r="Q191" s="570"/>
      <c r="R191" s="570"/>
    </row>
    <row r="192" spans="1:18" ht="15" x14ac:dyDescent="0.25">
      <c r="A192" s="459"/>
      <c r="B192" s="572" t="s">
        <v>4210</v>
      </c>
      <c r="C192" s="570"/>
      <c r="D192" s="570"/>
      <c r="E192" s="570"/>
      <c r="F192" s="570"/>
      <c r="G192" s="570"/>
      <c r="H192" s="570"/>
      <c r="I192" s="570"/>
      <c r="J192" s="570"/>
      <c r="K192" s="570"/>
      <c r="L192" s="570"/>
      <c r="M192" s="570"/>
      <c r="N192" s="571"/>
      <c r="O192" s="570"/>
      <c r="P192" s="570"/>
      <c r="Q192" s="570">
        <v>41200000</v>
      </c>
      <c r="R192" s="570"/>
    </row>
    <row r="193" spans="1:18" ht="15" x14ac:dyDescent="0.25">
      <c r="A193" s="459">
        <v>45034</v>
      </c>
      <c r="B193" s="720" t="s">
        <v>4403</v>
      </c>
      <c r="C193" s="570"/>
      <c r="D193" s="570"/>
      <c r="E193" s="570"/>
      <c r="F193" s="570"/>
      <c r="G193" s="570"/>
      <c r="H193" s="570"/>
      <c r="I193" s="570"/>
      <c r="J193" s="570"/>
      <c r="K193" s="570"/>
      <c r="L193" s="570">
        <f>(4001000+150000)/2</f>
        <v>2075500</v>
      </c>
      <c r="M193" s="570"/>
      <c r="N193" s="571"/>
      <c r="O193" s="570"/>
      <c r="P193" s="570"/>
      <c r="Q193" s="570"/>
      <c r="R193" s="570"/>
    </row>
    <row r="194" spans="1:18" ht="15" x14ac:dyDescent="0.25">
      <c r="A194" s="459"/>
      <c r="B194" s="720" t="s">
        <v>4401</v>
      </c>
      <c r="C194" s="570"/>
      <c r="D194" s="570"/>
      <c r="E194" s="570"/>
      <c r="F194" s="570"/>
      <c r="G194" s="570"/>
      <c r="H194" s="570"/>
      <c r="I194" s="570"/>
      <c r="J194" s="570"/>
      <c r="K194" s="570"/>
      <c r="L194" s="570">
        <f>2043000/2</f>
        <v>1021500</v>
      </c>
      <c r="M194" s="570"/>
      <c r="N194" s="571"/>
      <c r="O194" s="570"/>
      <c r="P194" s="570"/>
      <c r="Q194" s="570"/>
      <c r="R194" s="570"/>
    </row>
    <row r="195" spans="1:18" ht="15" x14ac:dyDescent="0.25">
      <c r="A195" s="459"/>
      <c r="B195" s="720" t="s">
        <v>4402</v>
      </c>
      <c r="C195" s="570"/>
      <c r="D195" s="570"/>
      <c r="E195" s="570"/>
      <c r="F195" s="570"/>
      <c r="G195" s="570"/>
      <c r="H195" s="570"/>
      <c r="I195" s="570"/>
      <c r="J195" s="570"/>
      <c r="K195" s="570"/>
      <c r="L195" s="570">
        <f>2475000/2</f>
        <v>1237500</v>
      </c>
      <c r="M195" s="570"/>
      <c r="N195" s="571"/>
      <c r="O195" s="570"/>
      <c r="P195" s="570"/>
      <c r="Q195" s="570"/>
      <c r="R195" s="570"/>
    </row>
    <row r="196" spans="1:18" ht="15" x14ac:dyDescent="0.25">
      <c r="A196" s="459"/>
      <c r="B196" s="720" t="s">
        <v>4404</v>
      </c>
      <c r="C196" s="570"/>
      <c r="D196" s="570"/>
      <c r="E196" s="570"/>
      <c r="F196" s="570"/>
      <c r="G196" s="570"/>
      <c r="H196" s="570"/>
      <c r="I196" s="570"/>
      <c r="J196" s="570"/>
      <c r="K196" s="570"/>
      <c r="L196" s="570">
        <f>(2765000+100000)/2</f>
        <v>1432500</v>
      </c>
      <c r="M196" s="570"/>
      <c r="N196" s="571"/>
      <c r="O196" s="570"/>
      <c r="P196" s="570"/>
      <c r="Q196" s="570"/>
      <c r="R196" s="570"/>
    </row>
    <row r="197" spans="1:18" ht="28.5" x14ac:dyDescent="0.25">
      <c r="A197" s="459"/>
      <c r="B197" s="610" t="s">
        <v>4207</v>
      </c>
      <c r="C197" s="570"/>
      <c r="D197" s="570"/>
      <c r="E197" s="570"/>
      <c r="F197" s="570"/>
      <c r="G197" s="570"/>
      <c r="H197" s="570"/>
      <c r="I197" s="570"/>
      <c r="J197" s="570"/>
      <c r="K197" s="570"/>
      <c r="L197" s="570"/>
      <c r="M197" s="570"/>
      <c r="N197" s="571"/>
      <c r="O197" s="570">
        <v>4390000</v>
      </c>
      <c r="P197" s="570"/>
      <c r="Q197" s="570"/>
      <c r="R197" s="570"/>
    </row>
    <row r="198" spans="1:18" ht="28.5" x14ac:dyDescent="0.25">
      <c r="A198" s="459"/>
      <c r="B198" s="611" t="s">
        <v>4208</v>
      </c>
      <c r="C198" s="570"/>
      <c r="D198" s="570"/>
      <c r="E198" s="570"/>
      <c r="F198" s="570"/>
      <c r="G198" s="570"/>
      <c r="H198" s="570"/>
      <c r="I198" s="570"/>
      <c r="J198" s="570"/>
      <c r="K198" s="570"/>
      <c r="L198" s="570"/>
      <c r="M198" s="570"/>
      <c r="N198" s="571"/>
      <c r="O198" s="570"/>
      <c r="P198" s="570">
        <f>40000*10</f>
        <v>400000</v>
      </c>
      <c r="Q198" s="570"/>
      <c r="R198" s="570"/>
    </row>
    <row r="199" spans="1:18" ht="15" x14ac:dyDescent="0.25">
      <c r="A199" s="459">
        <v>45042</v>
      </c>
      <c r="B199" s="572" t="s">
        <v>3218</v>
      </c>
      <c r="C199" s="570"/>
      <c r="D199" s="570"/>
      <c r="E199" s="570">
        <v>225000</v>
      </c>
      <c r="F199" s="570"/>
      <c r="G199" s="570"/>
      <c r="H199" s="570"/>
      <c r="I199" s="570"/>
      <c r="J199" s="570"/>
      <c r="K199" s="570"/>
      <c r="L199" s="570"/>
      <c r="M199" s="570"/>
      <c r="N199" s="571"/>
      <c r="O199" s="570"/>
      <c r="P199" s="570"/>
      <c r="Q199" s="570"/>
      <c r="R199" s="570"/>
    </row>
    <row r="200" spans="1:18" ht="15" x14ac:dyDescent="0.25">
      <c r="A200" s="459">
        <v>45043</v>
      </c>
      <c r="B200" s="585" t="s">
        <v>4399</v>
      </c>
      <c r="C200" s="570"/>
      <c r="D200" s="570"/>
      <c r="E200" s="570"/>
      <c r="F200" s="570"/>
      <c r="G200" s="570">
        <v>101500</v>
      </c>
      <c r="H200" s="570"/>
      <c r="I200" s="570"/>
      <c r="J200" s="570"/>
      <c r="K200" s="570"/>
      <c r="L200" s="570"/>
      <c r="M200" s="570"/>
      <c r="N200" s="571"/>
      <c r="O200" s="570"/>
      <c r="P200" s="570"/>
      <c r="Q200" s="570"/>
      <c r="R200" s="570"/>
    </row>
    <row r="201" spans="1:18" ht="42.75" x14ac:dyDescent="0.25">
      <c r="A201" s="459">
        <v>45044</v>
      </c>
      <c r="B201" s="585" t="s">
        <v>4400</v>
      </c>
      <c r="C201" s="570"/>
      <c r="D201" s="570"/>
      <c r="E201" s="570"/>
      <c r="F201" s="570"/>
      <c r="G201" s="570"/>
      <c r="H201" s="570"/>
      <c r="I201" s="570">
        <f>330000+620000</f>
        <v>950000</v>
      </c>
      <c r="J201" s="570"/>
      <c r="K201" s="570"/>
      <c r="L201" s="570"/>
      <c r="M201" s="570"/>
      <c r="N201" s="571"/>
      <c r="O201" s="570"/>
      <c r="P201" s="570"/>
      <c r="Q201" s="570"/>
      <c r="R201" s="570"/>
    </row>
    <row r="202" spans="1:18" ht="15" x14ac:dyDescent="0.25">
      <c r="A202" s="459">
        <v>45045</v>
      </c>
      <c r="B202" s="752" t="s">
        <v>3213</v>
      </c>
      <c r="C202" s="570"/>
      <c r="D202" s="570"/>
      <c r="E202" s="570"/>
      <c r="F202" s="570">
        <v>602500</v>
      </c>
      <c r="G202" s="570"/>
      <c r="H202" s="570"/>
      <c r="I202" s="570"/>
      <c r="J202" s="570"/>
      <c r="K202" s="570"/>
      <c r="L202" s="570"/>
      <c r="M202" s="570"/>
      <c r="N202" s="571"/>
      <c r="O202" s="570"/>
      <c r="P202" s="570"/>
      <c r="Q202" s="570"/>
      <c r="R202" s="570"/>
    </row>
    <row r="203" spans="1:18" ht="28.5" x14ac:dyDescent="0.25">
      <c r="A203" s="459"/>
      <c r="B203" s="611" t="s">
        <v>4209</v>
      </c>
      <c r="C203" s="570"/>
      <c r="D203" s="570"/>
      <c r="E203" s="570"/>
      <c r="F203" s="570"/>
      <c r="G203" s="570"/>
      <c r="H203" s="570"/>
      <c r="I203" s="570"/>
      <c r="J203" s="570"/>
      <c r="K203" s="570"/>
      <c r="L203" s="570"/>
      <c r="M203" s="570"/>
      <c r="N203" s="571"/>
      <c r="O203" s="570"/>
      <c r="P203" s="570">
        <f>40000*8</f>
        <v>320000</v>
      </c>
      <c r="Q203" s="570"/>
      <c r="R203" s="570"/>
    </row>
    <row r="204" spans="1:18" ht="15" x14ac:dyDescent="0.25">
      <c r="A204" s="459"/>
      <c r="B204" s="610" t="s">
        <v>2625</v>
      </c>
      <c r="C204" s="570"/>
      <c r="D204" s="570"/>
      <c r="E204" s="570"/>
      <c r="F204" s="570"/>
      <c r="G204" s="570"/>
      <c r="H204" s="570"/>
      <c r="I204" s="570"/>
      <c r="J204" s="570"/>
      <c r="K204" s="570"/>
      <c r="L204" s="570"/>
      <c r="M204" s="570"/>
      <c r="N204" s="571"/>
      <c r="O204" s="570">
        <v>22900000</v>
      </c>
      <c r="P204" s="570"/>
      <c r="Q204" s="570"/>
      <c r="R204" s="570"/>
    </row>
    <row r="205" spans="1:18" ht="15" x14ac:dyDescent="0.25">
      <c r="A205" s="459"/>
      <c r="B205" s="610" t="s">
        <v>2626</v>
      </c>
      <c r="C205" s="570"/>
      <c r="D205" s="570"/>
      <c r="E205" s="570"/>
      <c r="F205" s="570"/>
      <c r="G205" s="570"/>
      <c r="H205" s="570"/>
      <c r="I205" s="570"/>
      <c r="J205" s="570"/>
      <c r="K205" s="570"/>
      <c r="L205" s="570"/>
      <c r="M205" s="570">
        <v>5100000</v>
      </c>
      <c r="N205" s="571"/>
      <c r="O205" s="570"/>
      <c r="P205" s="570"/>
      <c r="Q205" s="570"/>
      <c r="R205" s="570"/>
    </row>
    <row r="206" spans="1:18" ht="15" x14ac:dyDescent="0.25">
      <c r="A206" s="459"/>
      <c r="B206" s="610" t="s">
        <v>2627</v>
      </c>
      <c r="C206" s="570"/>
      <c r="D206" s="570"/>
      <c r="E206" s="570"/>
      <c r="F206" s="570"/>
      <c r="G206" s="570"/>
      <c r="H206" s="570"/>
      <c r="I206" s="570"/>
      <c r="J206" s="570"/>
      <c r="K206" s="570"/>
      <c r="L206" s="570"/>
      <c r="M206" s="570"/>
      <c r="N206" s="571"/>
      <c r="O206" s="570"/>
      <c r="P206" s="570">
        <v>1400000</v>
      </c>
      <c r="Q206" s="570"/>
      <c r="R206" s="570"/>
    </row>
    <row r="207" spans="1:18" ht="16.5" x14ac:dyDescent="0.25">
      <c r="A207" s="462"/>
      <c r="B207" s="577" t="s">
        <v>38</v>
      </c>
      <c r="C207" s="578">
        <f t="shared" ref="C207:R207" si="3">SUM(C162:C206)</f>
        <v>394400</v>
      </c>
      <c r="D207" s="578">
        <f t="shared" si="3"/>
        <v>266000</v>
      </c>
      <c r="E207" s="578">
        <f t="shared" si="3"/>
        <v>712000</v>
      </c>
      <c r="F207" s="578">
        <f t="shared" si="3"/>
        <v>4588500</v>
      </c>
      <c r="G207" s="578">
        <f t="shared" si="3"/>
        <v>2793000</v>
      </c>
      <c r="H207" s="578">
        <f t="shared" si="3"/>
        <v>700000</v>
      </c>
      <c r="I207" s="578">
        <f t="shared" si="3"/>
        <v>7070350</v>
      </c>
      <c r="J207" s="578">
        <f t="shared" si="3"/>
        <v>0</v>
      </c>
      <c r="K207" s="578">
        <f t="shared" si="3"/>
        <v>378016</v>
      </c>
      <c r="L207" s="578">
        <f t="shared" si="3"/>
        <v>5767000</v>
      </c>
      <c r="M207" s="578">
        <f t="shared" si="3"/>
        <v>5100000</v>
      </c>
      <c r="N207" s="578">
        <f t="shared" si="3"/>
        <v>1995821</v>
      </c>
      <c r="O207" s="578">
        <f t="shared" si="3"/>
        <v>33220000</v>
      </c>
      <c r="P207" s="578">
        <f t="shared" si="3"/>
        <v>3160000</v>
      </c>
      <c r="Q207" s="578">
        <f t="shared" si="3"/>
        <v>41200000</v>
      </c>
      <c r="R207" s="578">
        <f t="shared" si="3"/>
        <v>0</v>
      </c>
    </row>
    <row r="208" spans="1:18" ht="16.5" x14ac:dyDescent="0.25">
      <c r="A208" s="461" t="s">
        <v>2553</v>
      </c>
      <c r="B208" s="579"/>
      <c r="C208" s="580"/>
      <c r="D208" s="580"/>
      <c r="E208" s="580"/>
      <c r="F208" s="580"/>
      <c r="G208" s="580"/>
      <c r="H208" s="580"/>
      <c r="I208" s="580"/>
      <c r="J208" s="580"/>
      <c r="K208" s="580"/>
      <c r="L208" s="580"/>
      <c r="M208" s="580"/>
      <c r="N208" s="581"/>
      <c r="O208" s="580"/>
      <c r="P208" s="580"/>
      <c r="Q208" s="582"/>
      <c r="R208" s="582"/>
    </row>
    <row r="209" spans="1:18" ht="15" x14ac:dyDescent="0.25">
      <c r="A209" s="458">
        <v>45048</v>
      </c>
      <c r="B209" s="610" t="s">
        <v>5869</v>
      </c>
      <c r="C209" s="570"/>
      <c r="D209" s="570"/>
      <c r="E209" s="570"/>
      <c r="F209" s="570"/>
      <c r="G209" s="570"/>
      <c r="H209" s="570"/>
      <c r="I209" s="570"/>
      <c r="J209" s="570"/>
      <c r="K209" s="570"/>
      <c r="L209" s="570"/>
      <c r="M209" s="570"/>
      <c r="N209" s="714">
        <v>1995821</v>
      </c>
      <c r="O209" s="570"/>
      <c r="P209" s="570"/>
      <c r="Q209" s="570"/>
      <c r="R209" s="570"/>
    </row>
    <row r="210" spans="1:18" ht="15" x14ac:dyDescent="0.25">
      <c r="A210" s="459"/>
      <c r="B210" s="573" t="s">
        <v>3210</v>
      </c>
      <c r="C210" s="570">
        <v>50600</v>
      </c>
      <c r="D210" s="570"/>
      <c r="E210" s="570"/>
      <c r="F210" s="570"/>
      <c r="G210" s="570"/>
      <c r="H210" s="570"/>
      <c r="I210" s="570"/>
      <c r="J210" s="570"/>
      <c r="K210" s="570"/>
      <c r="L210" s="570"/>
      <c r="M210" s="570"/>
      <c r="N210" s="571"/>
      <c r="O210" s="570"/>
      <c r="P210" s="570"/>
      <c r="Q210" s="570"/>
      <c r="R210" s="570"/>
    </row>
    <row r="211" spans="1:18" ht="15" x14ac:dyDescent="0.25">
      <c r="A211" s="459"/>
      <c r="B211" s="573" t="s">
        <v>3226</v>
      </c>
      <c r="C211" s="570"/>
      <c r="D211" s="570"/>
      <c r="E211" s="570"/>
      <c r="F211" s="570"/>
      <c r="G211" s="570"/>
      <c r="H211" s="570">
        <v>200000</v>
      </c>
      <c r="I211" s="570"/>
      <c r="J211" s="570"/>
      <c r="K211" s="570"/>
      <c r="L211" s="570"/>
      <c r="M211" s="570"/>
      <c r="N211" s="571"/>
      <c r="O211" s="570"/>
      <c r="P211" s="570"/>
      <c r="Q211" s="570"/>
      <c r="R211" s="570"/>
    </row>
    <row r="212" spans="1:18" ht="15" x14ac:dyDescent="0.25">
      <c r="A212" s="459"/>
      <c r="B212" s="573" t="s">
        <v>4748</v>
      </c>
      <c r="C212" s="570"/>
      <c r="D212" s="570"/>
      <c r="E212" s="570"/>
      <c r="F212" s="570"/>
      <c r="G212" s="570"/>
      <c r="H212" s="570"/>
      <c r="I212" s="570">
        <v>705000</v>
      </c>
      <c r="J212" s="570"/>
      <c r="K212" s="570"/>
      <c r="L212" s="570"/>
      <c r="M212" s="570"/>
      <c r="N212" s="571"/>
      <c r="O212" s="570"/>
      <c r="P212" s="570"/>
      <c r="Q212" s="570"/>
      <c r="R212" s="570"/>
    </row>
    <row r="213" spans="1:18" ht="15" x14ac:dyDescent="0.25">
      <c r="A213" s="459">
        <v>45049</v>
      </c>
      <c r="B213" s="573" t="s">
        <v>3222</v>
      </c>
      <c r="C213" s="570"/>
      <c r="D213" s="570"/>
      <c r="E213" s="570"/>
      <c r="F213" s="570"/>
      <c r="G213" s="570"/>
      <c r="H213" s="570">
        <v>150000</v>
      </c>
      <c r="I213" s="570"/>
      <c r="J213" s="570"/>
      <c r="K213" s="570"/>
      <c r="L213" s="570"/>
      <c r="M213" s="570"/>
      <c r="N213" s="571"/>
      <c r="O213" s="570"/>
      <c r="P213" s="570"/>
      <c r="Q213" s="570"/>
      <c r="R213" s="570"/>
    </row>
    <row r="214" spans="1:18" ht="15" x14ac:dyDescent="0.25">
      <c r="A214" s="459">
        <v>45050</v>
      </c>
      <c r="B214" s="585" t="s">
        <v>4140</v>
      </c>
      <c r="C214" s="570"/>
      <c r="D214" s="570"/>
      <c r="E214" s="570"/>
      <c r="F214" s="570"/>
      <c r="G214" s="570"/>
      <c r="H214" s="570"/>
      <c r="I214" s="570"/>
      <c r="J214" s="570"/>
      <c r="K214" s="570">
        <v>52000</v>
      </c>
      <c r="L214" s="570"/>
      <c r="M214" s="570"/>
      <c r="N214" s="571"/>
      <c r="O214" s="570"/>
      <c r="P214" s="570"/>
      <c r="Q214" s="570"/>
      <c r="R214" s="570"/>
    </row>
    <row r="215" spans="1:18" ht="15" x14ac:dyDescent="0.25">
      <c r="A215" s="459"/>
      <c r="B215" s="573" t="s">
        <v>4749</v>
      </c>
      <c r="C215" s="570"/>
      <c r="D215" s="570"/>
      <c r="E215" s="570"/>
      <c r="F215" s="570"/>
      <c r="G215" s="570"/>
      <c r="H215" s="570"/>
      <c r="I215" s="570">
        <v>8000</v>
      </c>
      <c r="J215" s="570"/>
      <c r="K215" s="570"/>
      <c r="L215" s="570"/>
      <c r="M215" s="570"/>
      <c r="N215" s="571"/>
      <c r="O215" s="570"/>
      <c r="P215" s="570"/>
      <c r="Q215" s="570"/>
      <c r="R215" s="570"/>
    </row>
    <row r="216" spans="1:18" ht="28.5" x14ac:dyDescent="0.25">
      <c r="A216" s="459"/>
      <c r="B216" s="572" t="s">
        <v>4759</v>
      </c>
      <c r="C216" s="570"/>
      <c r="D216" s="570"/>
      <c r="E216" s="570"/>
      <c r="F216" s="570"/>
      <c r="G216" s="570"/>
      <c r="H216" s="570"/>
      <c r="I216" s="570"/>
      <c r="J216" s="570">
        <v>502500</v>
      </c>
      <c r="K216" s="570"/>
      <c r="L216" s="570"/>
      <c r="M216" s="570"/>
      <c r="N216" s="571"/>
      <c r="O216" s="570"/>
      <c r="P216" s="570"/>
      <c r="Q216" s="570"/>
      <c r="R216" s="570"/>
    </row>
    <row r="217" spans="1:18" ht="15" x14ac:dyDescent="0.25">
      <c r="A217" s="459"/>
      <c r="B217" s="572" t="s">
        <v>3237</v>
      </c>
      <c r="C217" s="570"/>
      <c r="D217" s="570"/>
      <c r="E217" s="570"/>
      <c r="F217" s="570"/>
      <c r="G217" s="570"/>
      <c r="H217" s="570"/>
      <c r="I217" s="570"/>
      <c r="J217" s="570">
        <v>502500</v>
      </c>
      <c r="K217" s="570"/>
      <c r="L217" s="570"/>
      <c r="M217" s="570"/>
      <c r="N217" s="571"/>
      <c r="O217" s="570"/>
      <c r="P217" s="570"/>
      <c r="Q217" s="570"/>
      <c r="R217" s="570"/>
    </row>
    <row r="218" spans="1:18" ht="15" x14ac:dyDescent="0.25">
      <c r="A218" s="459">
        <v>45052</v>
      </c>
      <c r="B218" s="573" t="s">
        <v>3212</v>
      </c>
      <c r="C218" s="570"/>
      <c r="D218" s="570"/>
      <c r="E218" s="570"/>
      <c r="F218" s="570"/>
      <c r="G218" s="570"/>
      <c r="H218" s="570">
        <v>150000</v>
      </c>
      <c r="I218" s="570"/>
      <c r="J218" s="570"/>
      <c r="K218" s="570"/>
      <c r="L218" s="570"/>
      <c r="M218" s="570"/>
      <c r="N218" s="571"/>
      <c r="O218" s="570"/>
      <c r="P218" s="570"/>
      <c r="Q218" s="570"/>
      <c r="R218" s="570"/>
    </row>
    <row r="219" spans="1:18" ht="28.5" x14ac:dyDescent="0.25">
      <c r="A219" s="459"/>
      <c r="B219" s="610" t="s">
        <v>4489</v>
      </c>
      <c r="C219" s="570"/>
      <c r="D219" s="570"/>
      <c r="E219" s="570"/>
      <c r="F219" s="570"/>
      <c r="G219" s="570"/>
      <c r="H219" s="570"/>
      <c r="I219" s="570"/>
      <c r="J219" s="570"/>
      <c r="K219" s="570"/>
      <c r="L219" s="570"/>
      <c r="M219" s="570"/>
      <c r="N219" s="571"/>
      <c r="O219" s="570">
        <v>4510000</v>
      </c>
      <c r="P219" s="570"/>
      <c r="Q219" s="570"/>
      <c r="R219" s="570"/>
    </row>
    <row r="220" spans="1:18" ht="28.5" x14ac:dyDescent="0.25">
      <c r="A220" s="459"/>
      <c r="B220" s="611" t="s">
        <v>4410</v>
      </c>
      <c r="C220" s="570"/>
      <c r="D220" s="570"/>
      <c r="E220" s="570"/>
      <c r="F220" s="570"/>
      <c r="G220" s="570"/>
      <c r="H220" s="570"/>
      <c r="I220" s="570"/>
      <c r="J220" s="570"/>
      <c r="K220" s="570"/>
      <c r="L220" s="570"/>
      <c r="M220" s="570"/>
      <c r="N220" s="571"/>
      <c r="O220" s="570"/>
      <c r="P220" s="570">
        <f>40000*9</f>
        <v>360000</v>
      </c>
      <c r="Q220" s="570"/>
      <c r="R220" s="570"/>
    </row>
    <row r="221" spans="1:18" ht="15" x14ac:dyDescent="0.25">
      <c r="A221" s="459"/>
      <c r="B221" s="720" t="s">
        <v>4847</v>
      </c>
      <c r="C221" s="570"/>
      <c r="D221" s="570"/>
      <c r="E221" s="570"/>
      <c r="F221" s="570"/>
      <c r="G221" s="570"/>
      <c r="H221" s="570"/>
      <c r="I221" s="570"/>
      <c r="J221" s="570"/>
      <c r="K221" s="570"/>
      <c r="L221" s="570">
        <f>(1917000+1850000)/2</f>
        <v>1883500</v>
      </c>
      <c r="M221" s="570"/>
      <c r="N221" s="571"/>
      <c r="O221" s="570"/>
      <c r="P221" s="570"/>
      <c r="Q221" s="570"/>
      <c r="R221" s="570"/>
    </row>
    <row r="222" spans="1:18" ht="15" x14ac:dyDescent="0.25">
      <c r="A222" s="459"/>
      <c r="B222" s="720" t="s">
        <v>4848</v>
      </c>
      <c r="C222" s="570"/>
      <c r="D222" s="570"/>
      <c r="E222" s="570"/>
      <c r="F222" s="570"/>
      <c r="G222" s="570"/>
      <c r="H222" s="570"/>
      <c r="I222" s="570"/>
      <c r="J222" s="570"/>
      <c r="K222" s="570"/>
      <c r="L222" s="570">
        <f>(1359000+2313000+1932220+1800000+1867500+1931500+1885000)/2</f>
        <v>6544110</v>
      </c>
      <c r="M222" s="570"/>
      <c r="N222" s="571"/>
      <c r="O222" s="570"/>
      <c r="P222" s="570"/>
      <c r="Q222" s="570"/>
      <c r="R222" s="570"/>
    </row>
    <row r="223" spans="1:18" ht="15" x14ac:dyDescent="0.25">
      <c r="A223" s="459"/>
      <c r="B223" s="720" t="s">
        <v>4849</v>
      </c>
      <c r="C223" s="570"/>
      <c r="D223" s="570"/>
      <c r="E223" s="570"/>
      <c r="F223" s="570"/>
      <c r="G223" s="570"/>
      <c r="H223" s="570"/>
      <c r="I223" s="570"/>
      <c r="J223" s="570"/>
      <c r="K223" s="570"/>
      <c r="L223" s="570">
        <f>13025300/2</f>
        <v>6512650</v>
      </c>
      <c r="M223" s="570"/>
      <c r="N223" s="571"/>
      <c r="O223" s="570"/>
      <c r="P223" s="570"/>
      <c r="Q223" s="570"/>
      <c r="R223" s="570"/>
    </row>
    <row r="224" spans="1:18" ht="15" x14ac:dyDescent="0.25">
      <c r="A224" s="459"/>
      <c r="B224" s="720" t="s">
        <v>4850</v>
      </c>
      <c r="C224" s="570"/>
      <c r="D224" s="570"/>
      <c r="E224" s="570"/>
      <c r="F224" s="570"/>
      <c r="G224" s="570"/>
      <c r="H224" s="570"/>
      <c r="I224" s="570"/>
      <c r="J224" s="570"/>
      <c r="K224" s="570"/>
      <c r="L224" s="570">
        <f>6575500/2</f>
        <v>3287750</v>
      </c>
      <c r="M224" s="570"/>
      <c r="N224" s="571"/>
      <c r="O224" s="570"/>
      <c r="P224" s="570"/>
      <c r="Q224" s="570"/>
      <c r="R224" s="570"/>
    </row>
    <row r="225" spans="1:18" ht="15" x14ac:dyDescent="0.25">
      <c r="A225" s="459">
        <v>45054</v>
      </c>
      <c r="B225" s="572" t="s">
        <v>3210</v>
      </c>
      <c r="C225" s="570">
        <v>51800</v>
      </c>
      <c r="D225" s="570"/>
      <c r="E225" s="570"/>
      <c r="F225" s="570"/>
      <c r="G225" s="570"/>
      <c r="H225" s="570"/>
      <c r="I225" s="570"/>
      <c r="J225" s="570"/>
      <c r="K225" s="570"/>
      <c r="L225" s="570"/>
      <c r="M225" s="570"/>
      <c r="N225" s="571"/>
      <c r="O225" s="570"/>
      <c r="P225" s="570"/>
      <c r="Q225" s="570"/>
      <c r="R225" s="570"/>
    </row>
    <row r="226" spans="1:18" ht="15" x14ac:dyDescent="0.25">
      <c r="A226" s="459"/>
      <c r="B226" s="572" t="s">
        <v>4750</v>
      </c>
      <c r="C226" s="570"/>
      <c r="D226" s="570"/>
      <c r="E226" s="570"/>
      <c r="F226" s="570"/>
      <c r="G226" s="570"/>
      <c r="H226" s="570"/>
      <c r="I226" s="570">
        <v>150000</v>
      </c>
      <c r="J226" s="570"/>
      <c r="K226" s="570"/>
      <c r="L226" s="570"/>
      <c r="M226" s="570"/>
      <c r="N226" s="571"/>
      <c r="O226" s="570"/>
      <c r="P226" s="570"/>
      <c r="Q226" s="570"/>
      <c r="R226" s="570"/>
    </row>
    <row r="227" spans="1:18" ht="15" x14ac:dyDescent="0.25">
      <c r="A227" s="459"/>
      <c r="B227" s="572" t="s">
        <v>3218</v>
      </c>
      <c r="C227" s="570"/>
      <c r="D227" s="570"/>
      <c r="E227" s="570">
        <v>225000</v>
      </c>
      <c r="F227" s="570"/>
      <c r="G227" s="570"/>
      <c r="H227" s="570"/>
      <c r="I227" s="570"/>
      <c r="J227" s="570"/>
      <c r="K227" s="570"/>
      <c r="L227" s="570"/>
      <c r="M227" s="570"/>
      <c r="N227" s="571"/>
      <c r="O227" s="570"/>
      <c r="P227" s="570"/>
      <c r="Q227" s="570"/>
      <c r="R227" s="570"/>
    </row>
    <row r="228" spans="1:18" ht="15" x14ac:dyDescent="0.25">
      <c r="A228" s="459"/>
      <c r="B228" s="610" t="s">
        <v>3207</v>
      </c>
      <c r="C228" s="570"/>
      <c r="D228" s="570"/>
      <c r="E228" s="570"/>
      <c r="F228" s="570"/>
      <c r="G228" s="570"/>
      <c r="H228" s="570"/>
      <c r="I228" s="570"/>
      <c r="J228" s="570"/>
      <c r="K228" s="570">
        <v>70816</v>
      </c>
      <c r="L228" s="570"/>
      <c r="M228" s="570"/>
      <c r="N228" s="571"/>
      <c r="O228" s="570"/>
      <c r="P228" s="570"/>
      <c r="Q228" s="570"/>
      <c r="R228" s="570"/>
    </row>
    <row r="229" spans="1:18" ht="15" x14ac:dyDescent="0.25">
      <c r="A229" s="459"/>
      <c r="B229" s="721" t="s">
        <v>3208</v>
      </c>
      <c r="C229" s="570"/>
      <c r="D229" s="570"/>
      <c r="E229" s="570"/>
      <c r="F229" s="570"/>
      <c r="G229" s="570"/>
      <c r="H229" s="570"/>
      <c r="I229" s="570"/>
      <c r="J229" s="570"/>
      <c r="K229" s="570">
        <v>255200</v>
      </c>
      <c r="L229" s="570"/>
      <c r="M229" s="570"/>
      <c r="N229" s="571"/>
      <c r="O229" s="570"/>
      <c r="P229" s="570"/>
      <c r="Q229" s="570"/>
      <c r="R229" s="570"/>
    </row>
    <row r="230" spans="1:18" ht="15" x14ac:dyDescent="0.25">
      <c r="A230" s="459">
        <v>45056</v>
      </c>
      <c r="B230" s="572" t="s">
        <v>4390</v>
      </c>
      <c r="C230" s="570"/>
      <c r="D230" s="570">
        <v>225000</v>
      </c>
      <c r="E230" s="570"/>
      <c r="F230" s="570"/>
      <c r="G230" s="570"/>
      <c r="H230" s="570"/>
      <c r="I230" s="570"/>
      <c r="J230" s="570"/>
      <c r="K230" s="570"/>
      <c r="L230" s="570"/>
      <c r="M230" s="570"/>
      <c r="N230" s="571"/>
      <c r="O230" s="570"/>
      <c r="P230" s="570"/>
      <c r="Q230" s="570"/>
      <c r="R230" s="570"/>
    </row>
    <row r="231" spans="1:18" ht="15" x14ac:dyDescent="0.25">
      <c r="A231" s="459"/>
      <c r="B231" s="572" t="s">
        <v>3212</v>
      </c>
      <c r="C231" s="570"/>
      <c r="D231" s="570"/>
      <c r="E231" s="570"/>
      <c r="F231" s="570"/>
      <c r="G231" s="570"/>
      <c r="H231" s="570">
        <v>150000</v>
      </c>
      <c r="I231" s="570"/>
      <c r="J231" s="570"/>
      <c r="K231" s="570"/>
      <c r="L231" s="570"/>
      <c r="M231" s="570"/>
      <c r="N231" s="571"/>
      <c r="O231" s="570"/>
      <c r="P231" s="570"/>
      <c r="Q231" s="570"/>
      <c r="R231" s="570"/>
    </row>
    <row r="232" spans="1:18" ht="15" x14ac:dyDescent="0.25">
      <c r="A232" s="459"/>
      <c r="B232" s="572" t="s">
        <v>4140</v>
      </c>
      <c r="C232" s="570"/>
      <c r="D232" s="570"/>
      <c r="E232" s="570"/>
      <c r="F232" s="570"/>
      <c r="G232" s="570"/>
      <c r="H232" s="570"/>
      <c r="I232" s="570"/>
      <c r="J232" s="570"/>
      <c r="K232" s="570">
        <v>52000</v>
      </c>
      <c r="L232" s="570"/>
      <c r="M232" s="570"/>
      <c r="N232" s="571"/>
      <c r="O232" s="570"/>
      <c r="P232" s="570"/>
      <c r="Q232" s="570"/>
      <c r="R232" s="570"/>
    </row>
    <row r="233" spans="1:18" ht="15" x14ac:dyDescent="0.25">
      <c r="A233" s="459"/>
      <c r="B233" s="572" t="s">
        <v>3224</v>
      </c>
      <c r="C233" s="570"/>
      <c r="D233" s="570"/>
      <c r="E233" s="570"/>
      <c r="F233" s="570">
        <v>4650000</v>
      </c>
      <c r="G233" s="570"/>
      <c r="H233" s="570"/>
      <c r="I233" s="570"/>
      <c r="J233" s="570"/>
      <c r="K233" s="570"/>
      <c r="L233" s="570"/>
      <c r="M233" s="570"/>
      <c r="N233" s="571"/>
      <c r="O233" s="570"/>
      <c r="P233" s="570"/>
      <c r="Q233" s="570"/>
      <c r="R233" s="570"/>
    </row>
    <row r="234" spans="1:18" ht="15" x14ac:dyDescent="0.25">
      <c r="A234" s="459">
        <v>45057</v>
      </c>
      <c r="B234" s="573" t="s">
        <v>4751</v>
      </c>
      <c r="C234" s="570"/>
      <c r="D234" s="570"/>
      <c r="E234" s="570"/>
      <c r="F234" s="570"/>
      <c r="G234" s="570"/>
      <c r="H234" s="570"/>
      <c r="I234" s="570">
        <v>20000</v>
      </c>
      <c r="J234" s="570"/>
      <c r="K234" s="570"/>
      <c r="L234" s="570"/>
      <c r="M234" s="570"/>
      <c r="N234" s="571"/>
      <c r="O234" s="570"/>
      <c r="P234" s="570"/>
      <c r="Q234" s="570"/>
      <c r="R234" s="570"/>
    </row>
    <row r="235" spans="1:18" ht="15" x14ac:dyDescent="0.25">
      <c r="A235" s="459"/>
      <c r="B235" s="573" t="s">
        <v>4752</v>
      </c>
      <c r="C235" s="570"/>
      <c r="D235" s="570"/>
      <c r="E235" s="570"/>
      <c r="F235" s="570"/>
      <c r="G235" s="570"/>
      <c r="H235" s="570"/>
      <c r="I235" s="570">
        <v>990000</v>
      </c>
      <c r="J235" s="570"/>
      <c r="K235" s="570"/>
      <c r="L235" s="570"/>
      <c r="M235" s="570"/>
      <c r="N235" s="571"/>
      <c r="O235" s="570"/>
      <c r="P235" s="570"/>
      <c r="Q235" s="570"/>
      <c r="R235" s="570"/>
    </row>
    <row r="236" spans="1:18" s="608" customFormat="1" ht="28.5" x14ac:dyDescent="0.25">
      <c r="A236" s="753">
        <v>45058</v>
      </c>
      <c r="B236" s="572" t="s">
        <v>4753</v>
      </c>
      <c r="C236" s="754"/>
      <c r="D236" s="754"/>
      <c r="E236" s="754"/>
      <c r="F236" s="754"/>
      <c r="G236" s="754"/>
      <c r="H236" s="754"/>
      <c r="I236" s="754">
        <v>740000</v>
      </c>
      <c r="J236" s="754"/>
      <c r="K236" s="754"/>
      <c r="L236" s="754"/>
      <c r="M236" s="754"/>
      <c r="N236" s="755"/>
      <c r="O236" s="754"/>
      <c r="P236" s="754"/>
      <c r="Q236" s="754"/>
      <c r="R236" s="754"/>
    </row>
    <row r="237" spans="1:18" ht="15" x14ac:dyDescent="0.25">
      <c r="A237" s="459">
        <v>45059</v>
      </c>
      <c r="B237" s="572" t="s">
        <v>3219</v>
      </c>
      <c r="C237" s="570"/>
      <c r="D237" s="570">
        <v>212000</v>
      </c>
      <c r="E237" s="570"/>
      <c r="F237" s="570"/>
      <c r="G237" s="570"/>
      <c r="H237" s="570"/>
      <c r="I237" s="570"/>
      <c r="J237" s="570"/>
      <c r="K237" s="570"/>
      <c r="L237" s="570"/>
      <c r="M237" s="570"/>
      <c r="N237" s="571"/>
      <c r="O237" s="570"/>
      <c r="P237" s="570"/>
      <c r="Q237" s="570"/>
      <c r="R237" s="570"/>
    </row>
    <row r="238" spans="1:18" ht="15" x14ac:dyDescent="0.25">
      <c r="A238" s="459"/>
      <c r="B238" s="572" t="s">
        <v>4754</v>
      </c>
      <c r="C238" s="570"/>
      <c r="D238" s="570"/>
      <c r="E238" s="570"/>
      <c r="F238" s="570"/>
      <c r="G238" s="570"/>
      <c r="H238" s="570"/>
      <c r="I238" s="570">
        <v>665000</v>
      </c>
      <c r="J238" s="570"/>
      <c r="K238" s="570"/>
      <c r="L238" s="570"/>
      <c r="M238" s="570"/>
      <c r="N238" s="571"/>
      <c r="O238" s="570"/>
      <c r="P238" s="570"/>
      <c r="Q238" s="570"/>
      <c r="R238" s="570"/>
    </row>
    <row r="239" spans="1:18" ht="15" x14ac:dyDescent="0.25">
      <c r="A239" s="459"/>
      <c r="B239" s="572" t="s">
        <v>4139</v>
      </c>
      <c r="C239" s="570"/>
      <c r="D239" s="570"/>
      <c r="E239" s="570"/>
      <c r="F239" s="570"/>
      <c r="G239" s="570"/>
      <c r="H239" s="570">
        <v>150000</v>
      </c>
      <c r="I239" s="570"/>
      <c r="J239" s="570"/>
      <c r="K239" s="570"/>
      <c r="L239" s="570"/>
      <c r="M239" s="570"/>
      <c r="N239" s="571"/>
      <c r="O239" s="570"/>
      <c r="P239" s="570"/>
      <c r="Q239" s="570"/>
      <c r="R239" s="570"/>
    </row>
    <row r="240" spans="1:18" ht="15" x14ac:dyDescent="0.25">
      <c r="A240" s="459"/>
      <c r="B240" s="569" t="s">
        <v>3215</v>
      </c>
      <c r="C240" s="570"/>
      <c r="D240" s="570"/>
      <c r="E240" s="570"/>
      <c r="F240" s="570"/>
      <c r="G240" s="570"/>
      <c r="H240" s="570">
        <v>250000</v>
      </c>
      <c r="I240" s="570"/>
      <c r="J240" s="570"/>
      <c r="K240" s="570"/>
      <c r="L240" s="570"/>
      <c r="M240" s="570"/>
      <c r="N240" s="571"/>
      <c r="O240" s="570"/>
      <c r="P240" s="570"/>
      <c r="Q240" s="570"/>
      <c r="R240" s="570"/>
    </row>
    <row r="241" spans="1:18" ht="28.5" x14ac:dyDescent="0.25">
      <c r="A241" s="459"/>
      <c r="B241" s="611" t="s">
        <v>4461</v>
      </c>
      <c r="C241" s="570"/>
      <c r="D241" s="570"/>
      <c r="E241" s="570"/>
      <c r="F241" s="570"/>
      <c r="G241" s="570"/>
      <c r="H241" s="570"/>
      <c r="I241" s="570"/>
      <c r="J241" s="570"/>
      <c r="K241" s="570"/>
      <c r="L241" s="570"/>
      <c r="M241" s="570"/>
      <c r="N241" s="571"/>
      <c r="O241" s="570"/>
      <c r="P241" s="570">
        <f>40000*10</f>
        <v>400000</v>
      </c>
      <c r="Q241" s="570"/>
      <c r="R241" s="570"/>
    </row>
    <row r="242" spans="1:18" ht="15" x14ac:dyDescent="0.25">
      <c r="A242" s="459">
        <v>45061</v>
      </c>
      <c r="B242" s="572" t="s">
        <v>3210</v>
      </c>
      <c r="C242" s="570">
        <v>51800</v>
      </c>
      <c r="D242" s="570"/>
      <c r="E242" s="570"/>
      <c r="F242" s="570"/>
      <c r="G242" s="570"/>
      <c r="H242" s="570"/>
      <c r="I242" s="570"/>
      <c r="J242" s="570"/>
      <c r="K242" s="570"/>
      <c r="L242" s="570"/>
      <c r="M242" s="570"/>
      <c r="N242" s="571"/>
      <c r="O242" s="570"/>
      <c r="P242" s="570"/>
      <c r="Q242" s="570"/>
      <c r="R242" s="570"/>
    </row>
    <row r="243" spans="1:18" ht="57" x14ac:dyDescent="0.25">
      <c r="A243" s="459">
        <v>45065</v>
      </c>
      <c r="B243" s="572" t="s">
        <v>4755</v>
      </c>
      <c r="C243" s="570"/>
      <c r="D243" s="570"/>
      <c r="E243" s="570"/>
      <c r="F243" s="570"/>
      <c r="G243" s="570"/>
      <c r="H243" s="570"/>
      <c r="I243" s="570"/>
      <c r="J243" s="570"/>
      <c r="K243" s="570"/>
      <c r="L243" s="570"/>
      <c r="M243" s="570"/>
      <c r="N243" s="571"/>
      <c r="O243" s="570"/>
      <c r="P243" s="570"/>
      <c r="Q243" s="570"/>
      <c r="R243" s="570"/>
    </row>
    <row r="244" spans="1:18" ht="15" x14ac:dyDescent="0.25">
      <c r="A244" s="459"/>
      <c r="B244" s="573" t="s">
        <v>3225</v>
      </c>
      <c r="C244" s="570"/>
      <c r="D244" s="570"/>
      <c r="E244" s="570"/>
      <c r="F244" s="570"/>
      <c r="G244" s="570">
        <v>200000</v>
      </c>
      <c r="H244" s="570"/>
      <c r="I244" s="570"/>
      <c r="J244" s="570"/>
      <c r="K244" s="570"/>
      <c r="L244" s="570"/>
      <c r="M244" s="570"/>
      <c r="N244" s="571"/>
      <c r="O244" s="570"/>
      <c r="P244" s="570"/>
      <c r="Q244" s="570"/>
      <c r="R244" s="570"/>
    </row>
    <row r="245" spans="1:18" ht="15" x14ac:dyDescent="0.25">
      <c r="A245" s="459"/>
      <c r="B245" s="572" t="s">
        <v>3238</v>
      </c>
      <c r="C245" s="570">
        <v>200000</v>
      </c>
      <c r="D245" s="570"/>
      <c r="E245" s="570"/>
      <c r="F245" s="570"/>
      <c r="G245" s="570"/>
      <c r="H245" s="570"/>
      <c r="I245" s="570"/>
      <c r="J245" s="570"/>
      <c r="K245" s="570"/>
      <c r="L245" s="570"/>
      <c r="M245" s="570"/>
      <c r="N245" s="571"/>
      <c r="O245" s="570"/>
      <c r="P245" s="570"/>
      <c r="Q245" s="570"/>
      <c r="R245" s="570"/>
    </row>
    <row r="246" spans="1:18" ht="15" x14ac:dyDescent="0.25">
      <c r="A246" s="459">
        <v>45066</v>
      </c>
      <c r="B246" s="572" t="s">
        <v>4756</v>
      </c>
      <c r="C246" s="570">
        <v>173000</v>
      </c>
      <c r="D246" s="570"/>
      <c r="E246" s="570"/>
      <c r="F246" s="570"/>
      <c r="G246" s="570"/>
      <c r="H246" s="570"/>
      <c r="I246" s="570"/>
      <c r="J246" s="570"/>
      <c r="K246" s="570"/>
      <c r="L246" s="570"/>
      <c r="M246" s="570"/>
      <c r="N246" s="571"/>
      <c r="O246" s="570"/>
      <c r="P246" s="570"/>
      <c r="Q246" s="570"/>
      <c r="R246" s="570"/>
    </row>
    <row r="247" spans="1:18" ht="15" x14ac:dyDescent="0.25">
      <c r="A247" s="459"/>
      <c r="B247" s="572" t="s">
        <v>3218</v>
      </c>
      <c r="C247" s="570"/>
      <c r="D247" s="570"/>
      <c r="E247" s="570">
        <v>135000</v>
      </c>
      <c r="F247" s="570"/>
      <c r="G247" s="570"/>
      <c r="H247" s="570"/>
      <c r="I247" s="570"/>
      <c r="J247" s="570"/>
      <c r="K247" s="570"/>
      <c r="L247" s="570"/>
      <c r="M247" s="570"/>
      <c r="N247" s="571"/>
      <c r="O247" s="570"/>
      <c r="P247" s="570"/>
      <c r="Q247" s="570"/>
      <c r="R247" s="570"/>
    </row>
    <row r="248" spans="1:18" ht="28.5" x14ac:dyDescent="0.25">
      <c r="A248" s="459"/>
      <c r="B248" s="610" t="s">
        <v>4462</v>
      </c>
      <c r="C248" s="570"/>
      <c r="D248" s="570"/>
      <c r="E248" s="570"/>
      <c r="F248" s="570"/>
      <c r="G248" s="570"/>
      <c r="H248" s="570"/>
      <c r="I248" s="570"/>
      <c r="J248" s="570"/>
      <c r="K248" s="570"/>
      <c r="L248" s="570"/>
      <c r="M248" s="570"/>
      <c r="N248" s="571"/>
      <c r="O248" s="570">
        <v>6050000</v>
      </c>
      <c r="P248" s="570"/>
      <c r="Q248" s="570"/>
      <c r="R248" s="570"/>
    </row>
    <row r="249" spans="1:18" ht="28.5" x14ac:dyDescent="0.25">
      <c r="A249" s="459"/>
      <c r="B249" s="611" t="s">
        <v>4463</v>
      </c>
      <c r="C249" s="570"/>
      <c r="D249" s="570"/>
      <c r="E249" s="570"/>
      <c r="F249" s="570"/>
      <c r="G249" s="570"/>
      <c r="H249" s="570"/>
      <c r="I249" s="570"/>
      <c r="J249" s="570"/>
      <c r="K249" s="570"/>
      <c r="L249" s="570"/>
      <c r="M249" s="570"/>
      <c r="N249" s="571"/>
      <c r="O249" s="570"/>
      <c r="P249" s="570">
        <f>40000*9</f>
        <v>360000</v>
      </c>
      <c r="Q249" s="570"/>
      <c r="R249" s="570"/>
    </row>
    <row r="250" spans="1:18" ht="15" x14ac:dyDescent="0.25">
      <c r="A250" s="459">
        <v>45068</v>
      </c>
      <c r="B250" s="572" t="s">
        <v>3210</v>
      </c>
      <c r="C250" s="570">
        <v>52900</v>
      </c>
      <c r="D250" s="570"/>
      <c r="E250" s="570"/>
      <c r="F250" s="570"/>
      <c r="G250" s="570"/>
      <c r="H250" s="570"/>
      <c r="I250" s="570"/>
      <c r="J250" s="570"/>
      <c r="K250" s="570"/>
      <c r="L250" s="570"/>
      <c r="M250" s="570"/>
      <c r="N250" s="571"/>
      <c r="O250" s="570"/>
      <c r="P250" s="570"/>
      <c r="Q250" s="570"/>
      <c r="R250" s="570"/>
    </row>
    <row r="251" spans="1:18" ht="15" x14ac:dyDescent="0.25">
      <c r="A251" s="459"/>
      <c r="B251" s="572" t="s">
        <v>3213</v>
      </c>
      <c r="C251" s="570"/>
      <c r="D251" s="570"/>
      <c r="E251" s="570"/>
      <c r="F251" s="570">
        <v>328500</v>
      </c>
      <c r="G251" s="570"/>
      <c r="H251" s="570"/>
      <c r="I251" s="570"/>
      <c r="J251" s="570"/>
      <c r="K251" s="570"/>
      <c r="L251" s="570"/>
      <c r="M251" s="570"/>
      <c r="N251" s="571"/>
      <c r="O251" s="570"/>
      <c r="P251" s="570"/>
      <c r="Q251" s="570"/>
      <c r="R251" s="570"/>
    </row>
    <row r="252" spans="1:18" ht="15" x14ac:dyDescent="0.25">
      <c r="A252" s="459"/>
      <c r="B252" s="572" t="s">
        <v>4757</v>
      </c>
      <c r="C252" s="570"/>
      <c r="D252" s="570"/>
      <c r="E252" s="570"/>
      <c r="F252" s="570"/>
      <c r="G252" s="570"/>
      <c r="H252" s="570"/>
      <c r="I252" s="570"/>
      <c r="J252" s="570"/>
      <c r="K252" s="570"/>
      <c r="L252" s="570"/>
      <c r="M252" s="570"/>
      <c r="N252" s="571"/>
      <c r="O252" s="570"/>
      <c r="P252" s="570"/>
      <c r="Q252" s="570"/>
      <c r="R252" s="570">
        <v>140000</v>
      </c>
    </row>
    <row r="253" spans="1:18" ht="15" x14ac:dyDescent="0.25">
      <c r="A253" s="459">
        <v>45069</v>
      </c>
      <c r="B253" s="585" t="s">
        <v>4758</v>
      </c>
      <c r="C253" s="570"/>
      <c r="D253" s="570"/>
      <c r="E253" s="570"/>
      <c r="F253" s="570"/>
      <c r="G253" s="570">
        <v>250000</v>
      </c>
      <c r="H253" s="570"/>
      <c r="I253" s="570"/>
      <c r="J253" s="570"/>
      <c r="K253" s="570"/>
      <c r="L253" s="570"/>
      <c r="M253" s="570"/>
      <c r="N253" s="571"/>
      <c r="O253" s="570"/>
      <c r="P253" s="570"/>
      <c r="Q253" s="570"/>
      <c r="R253" s="570"/>
    </row>
    <row r="254" spans="1:18" ht="15" x14ac:dyDescent="0.25">
      <c r="A254" s="459">
        <v>45070</v>
      </c>
      <c r="B254" s="572" t="s">
        <v>3224</v>
      </c>
      <c r="C254" s="570"/>
      <c r="D254" s="570"/>
      <c r="E254" s="570"/>
      <c r="F254" s="570">
        <v>4650000</v>
      </c>
      <c r="G254" s="570"/>
      <c r="H254" s="570"/>
      <c r="I254" s="570"/>
      <c r="J254" s="570"/>
      <c r="K254" s="570"/>
      <c r="L254" s="570"/>
      <c r="M254" s="570"/>
      <c r="N254" s="571"/>
      <c r="O254" s="570"/>
      <c r="P254" s="570"/>
      <c r="Q254" s="570"/>
      <c r="R254" s="570"/>
    </row>
    <row r="255" spans="1:18" ht="15" x14ac:dyDescent="0.25">
      <c r="A255" s="459">
        <v>45072</v>
      </c>
      <c r="B255" s="572" t="s">
        <v>3218</v>
      </c>
      <c r="C255" s="570"/>
      <c r="D255" s="570"/>
      <c r="E255" s="570">
        <v>225000</v>
      </c>
      <c r="F255" s="570"/>
      <c r="G255" s="570"/>
      <c r="H255" s="570"/>
      <c r="I255" s="570"/>
      <c r="J255" s="570"/>
      <c r="K255" s="570"/>
      <c r="L255" s="570"/>
      <c r="M255" s="570"/>
      <c r="N255" s="571"/>
      <c r="O255" s="570"/>
      <c r="P255" s="570"/>
      <c r="Q255" s="570"/>
      <c r="R255" s="570"/>
    </row>
    <row r="256" spans="1:18" ht="15" x14ac:dyDescent="0.25">
      <c r="A256" s="459"/>
      <c r="B256" s="569" t="s">
        <v>4140</v>
      </c>
      <c r="C256" s="570"/>
      <c r="D256" s="570"/>
      <c r="E256" s="570"/>
      <c r="F256" s="570"/>
      <c r="G256" s="570"/>
      <c r="H256" s="570"/>
      <c r="I256" s="570"/>
      <c r="J256" s="570"/>
      <c r="K256" s="570">
        <v>52000</v>
      </c>
      <c r="L256" s="570"/>
      <c r="M256" s="570"/>
      <c r="N256" s="571"/>
      <c r="O256" s="570"/>
      <c r="P256" s="570"/>
      <c r="Q256" s="570"/>
      <c r="R256" s="570"/>
    </row>
    <row r="257" spans="1:18" ht="28.5" x14ac:dyDescent="0.25">
      <c r="A257" s="459">
        <v>45073</v>
      </c>
      <c r="B257" s="611" t="s">
        <v>4490</v>
      </c>
      <c r="C257" s="570"/>
      <c r="D257" s="570"/>
      <c r="E257" s="570"/>
      <c r="F257" s="570"/>
      <c r="G257" s="570"/>
      <c r="H257" s="570"/>
      <c r="I257" s="570"/>
      <c r="J257" s="570"/>
      <c r="K257" s="570"/>
      <c r="L257" s="570"/>
      <c r="M257" s="570"/>
      <c r="N257" s="571"/>
      <c r="O257" s="570"/>
      <c r="P257" s="570">
        <f>40000*10</f>
        <v>400000</v>
      </c>
      <c r="Q257" s="570"/>
      <c r="R257" s="570"/>
    </row>
    <row r="258" spans="1:18" ht="15" x14ac:dyDescent="0.25">
      <c r="A258" s="459">
        <v>45075</v>
      </c>
      <c r="B258" s="720" t="s">
        <v>4843</v>
      </c>
      <c r="C258" s="570"/>
      <c r="D258" s="570"/>
      <c r="E258" s="570"/>
      <c r="F258" s="570"/>
      <c r="G258" s="570"/>
      <c r="H258" s="570"/>
      <c r="I258" s="570"/>
      <c r="J258" s="570"/>
      <c r="K258" s="570"/>
      <c r="L258" s="570">
        <f>3927500/2</f>
        <v>1963750</v>
      </c>
      <c r="M258" s="570"/>
      <c r="N258" s="571"/>
      <c r="O258" s="570"/>
      <c r="P258" s="570"/>
      <c r="Q258" s="570"/>
      <c r="R258" s="570"/>
    </row>
    <row r="259" spans="1:18" ht="15" x14ac:dyDescent="0.25">
      <c r="A259" s="459"/>
      <c r="B259" s="720" t="s">
        <v>4844</v>
      </c>
      <c r="C259" s="570"/>
      <c r="D259" s="570"/>
      <c r="E259" s="570"/>
      <c r="F259" s="570"/>
      <c r="G259" s="570"/>
      <c r="H259" s="570"/>
      <c r="I259" s="570"/>
      <c r="J259" s="570"/>
      <c r="K259" s="570"/>
      <c r="L259" s="570">
        <f>4185000/2</f>
        <v>2092500</v>
      </c>
      <c r="M259" s="570"/>
      <c r="N259" s="571"/>
      <c r="O259" s="570"/>
      <c r="P259" s="570"/>
      <c r="Q259" s="570"/>
      <c r="R259" s="570"/>
    </row>
    <row r="260" spans="1:18" ht="15" x14ac:dyDescent="0.25">
      <c r="A260" s="459"/>
      <c r="B260" s="720" t="s">
        <v>4845</v>
      </c>
      <c r="C260" s="570"/>
      <c r="D260" s="570"/>
      <c r="E260" s="570"/>
      <c r="F260" s="570"/>
      <c r="G260" s="570"/>
      <c r="H260" s="570"/>
      <c r="I260" s="570"/>
      <c r="J260" s="570"/>
      <c r="K260" s="570"/>
      <c r="L260" s="570">
        <f>2092000/2</f>
        <v>1046000</v>
      </c>
      <c r="M260" s="570"/>
      <c r="N260" s="571"/>
      <c r="O260" s="570"/>
      <c r="P260" s="570"/>
      <c r="Q260" s="570"/>
      <c r="R260" s="570"/>
    </row>
    <row r="261" spans="1:18" ht="15" x14ac:dyDescent="0.25">
      <c r="A261" s="459"/>
      <c r="B261" s="720" t="s">
        <v>4846</v>
      </c>
      <c r="C261" s="570"/>
      <c r="D261" s="570"/>
      <c r="E261" s="570"/>
      <c r="F261" s="570"/>
      <c r="G261" s="570"/>
      <c r="H261" s="570"/>
      <c r="I261" s="570"/>
      <c r="J261" s="570"/>
      <c r="K261" s="570"/>
      <c r="L261" s="570">
        <f>4068000/2</f>
        <v>2034000</v>
      </c>
      <c r="M261" s="570"/>
      <c r="N261" s="571"/>
      <c r="O261" s="570"/>
      <c r="P261" s="570"/>
      <c r="Q261" s="570"/>
      <c r="R261" s="570"/>
    </row>
    <row r="262" spans="1:18" ht="15" x14ac:dyDescent="0.25">
      <c r="A262" s="459">
        <v>45076</v>
      </c>
      <c r="B262" s="572" t="s">
        <v>3210</v>
      </c>
      <c r="C262" s="570">
        <v>52900</v>
      </c>
      <c r="D262" s="570"/>
      <c r="E262" s="570"/>
      <c r="F262" s="570"/>
      <c r="G262" s="570"/>
      <c r="H262" s="570"/>
      <c r="I262" s="570"/>
      <c r="J262" s="570"/>
      <c r="K262" s="570"/>
      <c r="L262" s="570"/>
      <c r="M262" s="570"/>
      <c r="N262" s="571"/>
      <c r="O262" s="570"/>
      <c r="P262" s="570"/>
      <c r="Q262" s="570"/>
      <c r="R262" s="570"/>
    </row>
    <row r="263" spans="1:18" ht="15" x14ac:dyDescent="0.25">
      <c r="A263" s="459">
        <v>45077</v>
      </c>
      <c r="B263" s="610" t="s">
        <v>2625</v>
      </c>
      <c r="C263" s="570"/>
      <c r="D263" s="570"/>
      <c r="E263" s="570"/>
      <c r="F263" s="570"/>
      <c r="G263" s="570"/>
      <c r="H263" s="570"/>
      <c r="I263" s="570"/>
      <c r="J263" s="570"/>
      <c r="K263" s="570"/>
      <c r="L263" s="570"/>
      <c r="M263" s="570"/>
      <c r="N263" s="571"/>
      <c r="O263" s="570">
        <v>22900000</v>
      </c>
      <c r="P263" s="570"/>
      <c r="Q263" s="570"/>
      <c r="R263" s="570"/>
    </row>
    <row r="264" spans="1:18" ht="15" x14ac:dyDescent="0.25">
      <c r="A264" s="459"/>
      <c r="B264" s="610" t="s">
        <v>2626</v>
      </c>
      <c r="C264" s="570"/>
      <c r="D264" s="570"/>
      <c r="E264" s="570"/>
      <c r="F264" s="570"/>
      <c r="G264" s="570"/>
      <c r="H264" s="570"/>
      <c r="I264" s="570"/>
      <c r="J264" s="570"/>
      <c r="K264" s="570"/>
      <c r="L264" s="570"/>
      <c r="M264" s="570">
        <v>5250000</v>
      </c>
      <c r="N264" s="571"/>
      <c r="O264" s="570"/>
      <c r="P264" s="570"/>
      <c r="Q264" s="570"/>
      <c r="R264" s="570"/>
    </row>
    <row r="265" spans="1:18" ht="15" x14ac:dyDescent="0.25">
      <c r="A265" s="459"/>
      <c r="B265" s="610" t="s">
        <v>2627</v>
      </c>
      <c r="C265" s="570"/>
      <c r="D265" s="570"/>
      <c r="E265" s="570"/>
      <c r="F265" s="570"/>
      <c r="G265" s="570"/>
      <c r="H265" s="570"/>
      <c r="I265" s="570"/>
      <c r="J265" s="570"/>
      <c r="K265" s="570"/>
      <c r="L265" s="570"/>
      <c r="M265" s="570"/>
      <c r="N265" s="571"/>
      <c r="O265" s="570"/>
      <c r="P265" s="570">
        <v>1600000</v>
      </c>
      <c r="Q265" s="570"/>
      <c r="R265" s="570"/>
    </row>
    <row r="266" spans="1:18" ht="16.5" x14ac:dyDescent="0.25">
      <c r="A266" s="462"/>
      <c r="B266" s="577" t="s">
        <v>38</v>
      </c>
      <c r="C266" s="578">
        <f t="shared" ref="C266:R266" si="4">SUM(C209:C265)</f>
        <v>633000</v>
      </c>
      <c r="D266" s="578">
        <f t="shared" si="4"/>
        <v>437000</v>
      </c>
      <c r="E266" s="578">
        <f t="shared" si="4"/>
        <v>585000</v>
      </c>
      <c r="F266" s="578">
        <f t="shared" si="4"/>
        <v>9628500</v>
      </c>
      <c r="G266" s="578">
        <f t="shared" si="4"/>
        <v>450000</v>
      </c>
      <c r="H266" s="578">
        <f t="shared" si="4"/>
        <v>1050000</v>
      </c>
      <c r="I266" s="578">
        <f t="shared" si="4"/>
        <v>3278000</v>
      </c>
      <c r="J266" s="578">
        <f t="shared" si="4"/>
        <v>1005000</v>
      </c>
      <c r="K266" s="578">
        <f t="shared" si="4"/>
        <v>482016</v>
      </c>
      <c r="L266" s="578">
        <f t="shared" si="4"/>
        <v>25364260</v>
      </c>
      <c r="M266" s="578">
        <f t="shared" si="4"/>
        <v>5250000</v>
      </c>
      <c r="N266" s="578">
        <f t="shared" si="4"/>
        <v>1995821</v>
      </c>
      <c r="O266" s="578">
        <f t="shared" si="4"/>
        <v>33460000</v>
      </c>
      <c r="P266" s="578">
        <f t="shared" si="4"/>
        <v>3120000</v>
      </c>
      <c r="Q266" s="578">
        <f t="shared" si="4"/>
        <v>0</v>
      </c>
      <c r="R266" s="578">
        <f t="shared" si="4"/>
        <v>140000</v>
      </c>
    </row>
    <row r="267" spans="1:18" ht="16.5" x14ac:dyDescent="0.25">
      <c r="A267" s="461" t="s">
        <v>2554</v>
      </c>
      <c r="B267" s="579"/>
      <c r="C267" s="580"/>
      <c r="D267" s="580"/>
      <c r="E267" s="580"/>
      <c r="F267" s="580"/>
      <c r="G267" s="580"/>
      <c r="H267" s="580"/>
      <c r="I267" s="580"/>
      <c r="J267" s="580"/>
      <c r="K267" s="580"/>
      <c r="L267" s="580"/>
      <c r="M267" s="580"/>
      <c r="N267" s="581"/>
      <c r="O267" s="580"/>
      <c r="P267" s="580"/>
      <c r="Q267" s="582"/>
      <c r="R267" s="582"/>
    </row>
    <row r="268" spans="1:18" ht="28.5" x14ac:dyDescent="0.25">
      <c r="A268" s="459">
        <v>45080</v>
      </c>
      <c r="B268" s="610" t="s">
        <v>4975</v>
      </c>
      <c r="C268" s="570"/>
      <c r="D268" s="570"/>
      <c r="E268" s="570"/>
      <c r="F268" s="570"/>
      <c r="G268" s="570"/>
      <c r="H268" s="570"/>
      <c r="I268" s="570"/>
      <c r="J268" s="570"/>
      <c r="K268" s="570"/>
      <c r="L268" s="570"/>
      <c r="M268" s="570"/>
      <c r="N268" s="571"/>
      <c r="O268" s="570">
        <v>5940000</v>
      </c>
      <c r="P268" s="570"/>
      <c r="Q268" s="570"/>
      <c r="R268" s="570"/>
    </row>
    <row r="269" spans="1:18" ht="28.5" x14ac:dyDescent="0.25">
      <c r="A269" s="459"/>
      <c r="B269" s="611" t="s">
        <v>4976</v>
      </c>
      <c r="C269" s="570"/>
      <c r="D269" s="570"/>
      <c r="E269" s="570"/>
      <c r="F269" s="570"/>
      <c r="G269" s="570"/>
      <c r="H269" s="570"/>
      <c r="I269" s="570"/>
      <c r="J269" s="570"/>
      <c r="K269" s="570"/>
      <c r="L269" s="570"/>
      <c r="M269" s="570"/>
      <c r="N269" s="571"/>
      <c r="O269" s="570"/>
      <c r="P269" s="570">
        <f>40000*10</f>
        <v>400000</v>
      </c>
      <c r="Q269" s="570"/>
      <c r="R269" s="570"/>
    </row>
    <row r="270" spans="1:18" ht="15" x14ac:dyDescent="0.25">
      <c r="A270" s="459">
        <v>45082</v>
      </c>
      <c r="B270" s="572" t="s">
        <v>5868</v>
      </c>
      <c r="C270" s="570"/>
      <c r="D270" s="570"/>
      <c r="E270" s="570"/>
      <c r="F270" s="570"/>
      <c r="G270" s="570"/>
      <c r="H270" s="570"/>
      <c r="I270" s="570"/>
      <c r="J270" s="570"/>
      <c r="K270" s="570"/>
      <c r="L270" s="570"/>
      <c r="M270" s="570"/>
      <c r="N270" s="714">
        <v>1995821</v>
      </c>
      <c r="O270" s="570"/>
      <c r="P270" s="570"/>
      <c r="Q270" s="570"/>
      <c r="R270" s="570"/>
    </row>
    <row r="271" spans="1:18" ht="15" x14ac:dyDescent="0.25">
      <c r="A271" s="459">
        <v>45083</v>
      </c>
      <c r="B271" s="572" t="s">
        <v>3210</v>
      </c>
      <c r="C271" s="570">
        <v>52900</v>
      </c>
      <c r="D271" s="570"/>
      <c r="E271" s="570"/>
      <c r="F271" s="570"/>
      <c r="G271" s="570"/>
      <c r="H271" s="570"/>
      <c r="I271" s="570"/>
      <c r="J271" s="570"/>
      <c r="K271" s="570"/>
      <c r="L271" s="570"/>
      <c r="M271" s="570"/>
      <c r="N271" s="571"/>
      <c r="O271" s="570"/>
      <c r="P271" s="570"/>
      <c r="Q271" s="570"/>
      <c r="R271" s="570"/>
    </row>
    <row r="272" spans="1:18" ht="15" x14ac:dyDescent="0.25">
      <c r="A272" s="459"/>
      <c r="B272" s="569" t="s">
        <v>3212</v>
      </c>
      <c r="C272" s="570"/>
      <c r="D272" s="570"/>
      <c r="E272" s="570"/>
      <c r="F272" s="570"/>
      <c r="G272" s="570"/>
      <c r="H272" s="570">
        <v>150000</v>
      </c>
      <c r="I272" s="570"/>
      <c r="J272" s="570"/>
      <c r="K272" s="570"/>
      <c r="L272" s="570"/>
      <c r="M272" s="570"/>
      <c r="N272" s="571"/>
      <c r="O272" s="570"/>
      <c r="P272" s="570"/>
      <c r="Q272" s="570"/>
      <c r="R272" s="570"/>
    </row>
    <row r="273" spans="1:18" ht="15" x14ac:dyDescent="0.25">
      <c r="A273" s="459">
        <v>45084</v>
      </c>
      <c r="B273" s="585" t="s">
        <v>3222</v>
      </c>
      <c r="C273" s="570"/>
      <c r="D273" s="570"/>
      <c r="E273" s="570"/>
      <c r="F273" s="570"/>
      <c r="G273" s="570"/>
      <c r="H273" s="570">
        <v>150000</v>
      </c>
      <c r="I273" s="570"/>
      <c r="J273" s="570"/>
      <c r="K273" s="570"/>
      <c r="L273" s="570"/>
      <c r="M273" s="570"/>
      <c r="N273" s="571"/>
      <c r="O273" s="570"/>
      <c r="P273" s="570"/>
      <c r="Q273" s="570"/>
      <c r="R273" s="570"/>
    </row>
    <row r="274" spans="1:18" ht="15" x14ac:dyDescent="0.25">
      <c r="A274" s="459"/>
      <c r="B274" s="585" t="s">
        <v>4140</v>
      </c>
      <c r="C274" s="570"/>
      <c r="D274" s="570"/>
      <c r="E274" s="570"/>
      <c r="F274" s="570"/>
      <c r="G274" s="570"/>
      <c r="H274" s="570"/>
      <c r="I274" s="570"/>
      <c r="J274" s="570"/>
      <c r="K274" s="570">
        <v>104000</v>
      </c>
      <c r="L274" s="570"/>
      <c r="M274" s="570"/>
      <c r="N274" s="571"/>
      <c r="O274" s="570"/>
      <c r="P274" s="570"/>
      <c r="Q274" s="570"/>
      <c r="R274" s="570"/>
    </row>
    <row r="275" spans="1:18" ht="15" x14ac:dyDescent="0.25">
      <c r="A275" s="459"/>
      <c r="B275" s="585" t="s">
        <v>5419</v>
      </c>
      <c r="C275" s="570"/>
      <c r="D275" s="570">
        <v>480000</v>
      </c>
      <c r="E275" s="570"/>
      <c r="F275" s="570"/>
      <c r="G275" s="570"/>
      <c r="H275" s="570"/>
      <c r="I275" s="570"/>
      <c r="J275" s="570"/>
      <c r="K275" s="570"/>
      <c r="L275" s="570"/>
      <c r="M275" s="570"/>
      <c r="N275" s="571"/>
      <c r="O275" s="570"/>
      <c r="P275" s="570"/>
      <c r="Q275" s="570"/>
      <c r="R275" s="570"/>
    </row>
    <row r="276" spans="1:18" ht="15" x14ac:dyDescent="0.25">
      <c r="A276" s="459"/>
      <c r="B276" s="572" t="s">
        <v>3224</v>
      </c>
      <c r="C276" s="570"/>
      <c r="D276" s="570"/>
      <c r="E276" s="570"/>
      <c r="F276" s="570">
        <v>4650000</v>
      </c>
      <c r="G276" s="570"/>
      <c r="H276" s="570"/>
      <c r="I276" s="570"/>
      <c r="J276" s="570"/>
      <c r="K276" s="570"/>
      <c r="L276" s="570"/>
      <c r="M276" s="570"/>
      <c r="N276" s="571"/>
      <c r="O276" s="570"/>
      <c r="P276" s="570"/>
      <c r="Q276" s="570"/>
      <c r="R276" s="570"/>
    </row>
    <row r="277" spans="1:18" ht="15" x14ac:dyDescent="0.25">
      <c r="A277" s="459"/>
      <c r="B277" s="572" t="s">
        <v>3232</v>
      </c>
      <c r="C277" s="570"/>
      <c r="D277" s="570"/>
      <c r="E277" s="570">
        <v>34000</v>
      </c>
      <c r="F277" s="570"/>
      <c r="G277" s="570"/>
      <c r="H277" s="570"/>
      <c r="I277" s="570"/>
      <c r="J277" s="570"/>
      <c r="K277" s="570"/>
      <c r="L277" s="570"/>
      <c r="M277" s="570"/>
      <c r="N277" s="571"/>
      <c r="O277" s="570"/>
      <c r="P277" s="570"/>
      <c r="Q277" s="570"/>
      <c r="R277" s="570"/>
    </row>
    <row r="278" spans="1:18" ht="28.5" x14ac:dyDescent="0.25">
      <c r="A278" s="459"/>
      <c r="B278" s="572" t="s">
        <v>5420</v>
      </c>
      <c r="C278" s="570"/>
      <c r="D278" s="570"/>
      <c r="E278" s="570"/>
      <c r="F278" s="570"/>
      <c r="G278" s="570"/>
      <c r="H278" s="570"/>
      <c r="I278" s="570">
        <v>227500</v>
      </c>
      <c r="J278" s="570"/>
      <c r="K278" s="570"/>
      <c r="L278" s="570"/>
      <c r="M278" s="570"/>
      <c r="N278" s="571"/>
      <c r="O278" s="570"/>
      <c r="P278" s="570"/>
      <c r="Q278" s="570"/>
      <c r="R278" s="570"/>
    </row>
    <row r="279" spans="1:18" ht="15" x14ac:dyDescent="0.25">
      <c r="A279" s="459">
        <v>45085</v>
      </c>
      <c r="B279" s="610" t="s">
        <v>3207</v>
      </c>
      <c r="C279" s="570"/>
      <c r="D279" s="570"/>
      <c r="E279" s="570"/>
      <c r="F279" s="570"/>
      <c r="G279" s="570"/>
      <c r="H279" s="570"/>
      <c r="I279" s="570"/>
      <c r="J279" s="570"/>
      <c r="K279" s="570">
        <v>76449</v>
      </c>
      <c r="L279" s="570"/>
      <c r="M279" s="570"/>
      <c r="N279" s="571"/>
      <c r="O279" s="570"/>
      <c r="P279" s="570"/>
      <c r="Q279" s="570"/>
      <c r="R279" s="570"/>
    </row>
    <row r="280" spans="1:18" ht="15" x14ac:dyDescent="0.25">
      <c r="A280" s="459"/>
      <c r="B280" s="721" t="s">
        <v>3208</v>
      </c>
      <c r="C280" s="570"/>
      <c r="D280" s="570"/>
      <c r="E280" s="570"/>
      <c r="F280" s="570"/>
      <c r="G280" s="570"/>
      <c r="H280" s="570"/>
      <c r="I280" s="570"/>
      <c r="J280" s="570"/>
      <c r="K280" s="570">
        <v>355200</v>
      </c>
      <c r="L280" s="570"/>
      <c r="M280" s="570"/>
      <c r="N280" s="571"/>
      <c r="O280" s="570"/>
      <c r="P280" s="570"/>
      <c r="Q280" s="570"/>
      <c r="R280" s="570"/>
    </row>
    <row r="281" spans="1:18" ht="15" x14ac:dyDescent="0.25">
      <c r="A281" s="459"/>
      <c r="B281" s="721" t="s">
        <v>5421</v>
      </c>
      <c r="C281" s="570"/>
      <c r="D281" s="570"/>
      <c r="E281" s="570"/>
      <c r="F281" s="570"/>
      <c r="G281" s="570"/>
      <c r="H281" s="570"/>
      <c r="I281" s="570">
        <f>810000+1430000</f>
        <v>2240000</v>
      </c>
      <c r="J281" s="570"/>
      <c r="K281" s="570"/>
      <c r="L281" s="570"/>
      <c r="M281" s="570"/>
      <c r="N281" s="571"/>
      <c r="O281" s="570"/>
      <c r="P281" s="570"/>
      <c r="Q281" s="570"/>
      <c r="R281" s="570"/>
    </row>
    <row r="282" spans="1:18" ht="15" x14ac:dyDescent="0.25">
      <c r="A282" s="459"/>
      <c r="B282" s="572" t="s">
        <v>5422</v>
      </c>
      <c r="C282" s="570"/>
      <c r="D282" s="570"/>
      <c r="E282" s="570"/>
      <c r="F282" s="570"/>
      <c r="G282" s="570"/>
      <c r="H282" s="570">
        <v>200000</v>
      </c>
      <c r="I282" s="570"/>
      <c r="J282" s="570"/>
      <c r="K282" s="570"/>
      <c r="L282" s="570"/>
      <c r="M282" s="570"/>
      <c r="N282" s="571"/>
      <c r="O282" s="570"/>
      <c r="P282" s="570"/>
      <c r="Q282" s="570"/>
      <c r="R282" s="570"/>
    </row>
    <row r="283" spans="1:18" ht="15" x14ac:dyDescent="0.25">
      <c r="A283" s="459">
        <v>45087</v>
      </c>
      <c r="B283" s="569" t="s">
        <v>3212</v>
      </c>
      <c r="C283" s="570"/>
      <c r="D283" s="570"/>
      <c r="E283" s="570"/>
      <c r="F283" s="570"/>
      <c r="G283" s="570"/>
      <c r="H283" s="570">
        <v>150000</v>
      </c>
      <c r="I283" s="570"/>
      <c r="J283" s="570"/>
      <c r="K283" s="570"/>
      <c r="L283" s="570"/>
      <c r="M283" s="570"/>
      <c r="N283" s="571"/>
      <c r="O283" s="570"/>
      <c r="P283" s="570"/>
      <c r="Q283" s="570"/>
      <c r="R283" s="570"/>
    </row>
    <row r="284" spans="1:18" ht="28.5" x14ac:dyDescent="0.25">
      <c r="A284" s="459"/>
      <c r="B284" s="611" t="s">
        <v>4977</v>
      </c>
      <c r="C284" s="570"/>
      <c r="D284" s="570"/>
      <c r="E284" s="570"/>
      <c r="F284" s="570"/>
      <c r="G284" s="570"/>
      <c r="H284" s="570"/>
      <c r="I284" s="570"/>
      <c r="J284" s="570"/>
      <c r="K284" s="570"/>
      <c r="L284" s="570"/>
      <c r="M284" s="570"/>
      <c r="N284" s="571"/>
      <c r="O284" s="570"/>
      <c r="P284" s="570">
        <f>40000*9</f>
        <v>360000</v>
      </c>
      <c r="Q284" s="570"/>
      <c r="R284" s="570"/>
    </row>
    <row r="285" spans="1:18" ht="15" x14ac:dyDescent="0.25">
      <c r="A285" s="459">
        <v>45089</v>
      </c>
      <c r="B285" s="585" t="s">
        <v>3210</v>
      </c>
      <c r="C285" s="570">
        <v>52900</v>
      </c>
      <c r="D285" s="570"/>
      <c r="E285" s="570"/>
      <c r="F285" s="570"/>
      <c r="G285" s="570"/>
      <c r="H285" s="570"/>
      <c r="I285" s="570"/>
      <c r="J285" s="570"/>
      <c r="K285" s="570"/>
      <c r="L285" s="570"/>
      <c r="M285" s="570"/>
      <c r="N285" s="571"/>
      <c r="O285" s="570"/>
      <c r="P285" s="570"/>
      <c r="Q285" s="570"/>
      <c r="R285" s="570"/>
    </row>
    <row r="286" spans="1:18" ht="15" x14ac:dyDescent="0.25">
      <c r="A286" s="459"/>
      <c r="B286" s="585" t="s">
        <v>3230</v>
      </c>
      <c r="C286" s="570"/>
      <c r="D286" s="570"/>
      <c r="E286" s="570"/>
      <c r="F286" s="570"/>
      <c r="G286" s="570"/>
      <c r="H286" s="570"/>
      <c r="I286" s="570">
        <v>1816721</v>
      </c>
      <c r="J286" s="570"/>
      <c r="K286" s="570"/>
      <c r="L286" s="570"/>
      <c r="M286" s="570"/>
      <c r="N286" s="571"/>
      <c r="O286" s="570"/>
      <c r="P286" s="570"/>
      <c r="Q286" s="570"/>
      <c r="R286" s="570"/>
    </row>
    <row r="287" spans="1:18" ht="15" x14ac:dyDescent="0.25">
      <c r="A287" s="459"/>
      <c r="B287" s="585" t="s">
        <v>3215</v>
      </c>
      <c r="C287" s="570"/>
      <c r="D287" s="570"/>
      <c r="E287" s="570"/>
      <c r="F287" s="570"/>
      <c r="G287" s="570"/>
      <c r="H287" s="570">
        <v>200000</v>
      </c>
      <c r="I287" s="570"/>
      <c r="J287" s="570"/>
      <c r="K287" s="570"/>
      <c r="L287" s="570"/>
      <c r="M287" s="570"/>
      <c r="N287" s="571"/>
      <c r="O287" s="570"/>
      <c r="P287" s="570"/>
      <c r="Q287" s="570"/>
      <c r="R287" s="570"/>
    </row>
    <row r="288" spans="1:18" ht="15" x14ac:dyDescent="0.25">
      <c r="A288" s="459">
        <v>45090</v>
      </c>
      <c r="B288" s="572" t="s">
        <v>4139</v>
      </c>
      <c r="C288" s="570"/>
      <c r="D288" s="570"/>
      <c r="E288" s="570"/>
      <c r="F288" s="570"/>
      <c r="G288" s="570"/>
      <c r="H288" s="570">
        <v>150000</v>
      </c>
      <c r="I288" s="570"/>
      <c r="J288" s="570"/>
      <c r="K288" s="570"/>
      <c r="L288" s="570"/>
      <c r="M288" s="570"/>
      <c r="N288" s="571"/>
      <c r="O288" s="570"/>
      <c r="P288" s="570"/>
      <c r="Q288" s="570"/>
      <c r="R288" s="570"/>
    </row>
    <row r="289" spans="1:18" ht="15" x14ac:dyDescent="0.25">
      <c r="A289" s="459">
        <v>45091</v>
      </c>
      <c r="B289" s="585" t="s">
        <v>5423</v>
      </c>
      <c r="C289" s="570"/>
      <c r="D289" s="570"/>
      <c r="E289" s="570"/>
      <c r="F289" s="570"/>
      <c r="G289" s="570">
        <v>2608000</v>
      </c>
      <c r="H289" s="570"/>
      <c r="I289" s="570"/>
      <c r="J289" s="570"/>
      <c r="K289" s="570"/>
      <c r="L289" s="570"/>
      <c r="M289" s="570"/>
      <c r="N289" s="571"/>
      <c r="O289" s="570"/>
      <c r="P289" s="570"/>
      <c r="Q289" s="570"/>
      <c r="R289" s="570"/>
    </row>
    <row r="290" spans="1:18" ht="15" x14ac:dyDescent="0.25">
      <c r="A290" s="459"/>
      <c r="B290" s="585" t="s">
        <v>4399</v>
      </c>
      <c r="C290" s="570"/>
      <c r="D290" s="570"/>
      <c r="E290" s="570"/>
      <c r="F290" s="570"/>
      <c r="G290" s="570">
        <v>201500</v>
      </c>
      <c r="H290" s="570"/>
      <c r="I290" s="570"/>
      <c r="J290" s="570"/>
      <c r="K290" s="570"/>
      <c r="L290" s="570"/>
      <c r="M290" s="570"/>
      <c r="N290" s="571"/>
      <c r="O290" s="570"/>
      <c r="P290" s="570"/>
      <c r="Q290" s="570"/>
      <c r="R290" s="570"/>
    </row>
    <row r="291" spans="1:18" ht="15" x14ac:dyDescent="0.25">
      <c r="A291" s="459"/>
      <c r="B291" s="572" t="s">
        <v>3237</v>
      </c>
      <c r="C291" s="570"/>
      <c r="D291" s="570"/>
      <c r="E291" s="570"/>
      <c r="F291" s="570"/>
      <c r="G291" s="570"/>
      <c r="H291" s="570"/>
      <c r="I291" s="570"/>
      <c r="J291" s="570">
        <v>1002500</v>
      </c>
      <c r="K291" s="570"/>
      <c r="L291" s="570"/>
      <c r="M291" s="570"/>
      <c r="N291" s="571"/>
      <c r="O291" s="570"/>
      <c r="P291" s="570"/>
      <c r="Q291" s="570"/>
      <c r="R291" s="570"/>
    </row>
    <row r="292" spans="1:18" ht="15" x14ac:dyDescent="0.25">
      <c r="A292" s="459">
        <v>45092</v>
      </c>
      <c r="B292" s="585" t="s">
        <v>3214</v>
      </c>
      <c r="C292" s="570"/>
      <c r="D292" s="570"/>
      <c r="E292" s="570"/>
      <c r="F292" s="570"/>
      <c r="G292" s="570"/>
      <c r="H292" s="570">
        <v>255000</v>
      </c>
      <c r="I292" s="570"/>
      <c r="J292" s="570"/>
      <c r="K292" s="570"/>
      <c r="L292" s="570"/>
      <c r="M292" s="570"/>
      <c r="N292" s="571"/>
      <c r="O292" s="570"/>
      <c r="P292" s="570"/>
      <c r="Q292" s="570"/>
      <c r="R292" s="570"/>
    </row>
    <row r="293" spans="1:18" ht="15" x14ac:dyDescent="0.25">
      <c r="A293" s="459">
        <v>45093</v>
      </c>
      <c r="B293" s="572" t="s">
        <v>3225</v>
      </c>
      <c r="C293" s="570"/>
      <c r="D293" s="570"/>
      <c r="E293" s="570"/>
      <c r="F293" s="570"/>
      <c r="G293" s="570">
        <v>200000</v>
      </c>
      <c r="H293" s="570"/>
      <c r="I293" s="570"/>
      <c r="J293" s="570"/>
      <c r="K293" s="570"/>
      <c r="L293" s="570"/>
      <c r="M293" s="570"/>
      <c r="N293" s="571"/>
      <c r="O293" s="570"/>
      <c r="P293" s="570"/>
      <c r="Q293" s="570"/>
      <c r="R293" s="570"/>
    </row>
    <row r="294" spans="1:18" ht="15" x14ac:dyDescent="0.25">
      <c r="A294" s="459"/>
      <c r="B294" s="572" t="s">
        <v>3222</v>
      </c>
      <c r="C294" s="570"/>
      <c r="D294" s="570"/>
      <c r="E294" s="570"/>
      <c r="F294" s="570"/>
      <c r="G294" s="570"/>
      <c r="H294" s="570">
        <v>150000</v>
      </c>
      <c r="I294" s="570"/>
      <c r="J294" s="570"/>
      <c r="K294" s="570"/>
      <c r="L294" s="570"/>
      <c r="M294" s="570"/>
      <c r="N294" s="571"/>
      <c r="O294" s="570"/>
      <c r="P294" s="570"/>
      <c r="Q294" s="570"/>
      <c r="R294" s="570"/>
    </row>
    <row r="295" spans="1:18" ht="15" x14ac:dyDescent="0.25">
      <c r="A295" s="459">
        <v>45094</v>
      </c>
      <c r="B295" s="572" t="s">
        <v>3215</v>
      </c>
      <c r="C295" s="570"/>
      <c r="D295" s="570"/>
      <c r="E295" s="570"/>
      <c r="F295" s="570"/>
      <c r="G295" s="570"/>
      <c r="H295" s="570">
        <v>150000</v>
      </c>
      <c r="I295" s="570"/>
      <c r="J295" s="570"/>
      <c r="K295" s="570"/>
      <c r="L295" s="570"/>
      <c r="M295" s="570"/>
      <c r="N295" s="571"/>
      <c r="O295" s="570"/>
      <c r="P295" s="570"/>
      <c r="Q295" s="570"/>
      <c r="R295" s="570"/>
    </row>
    <row r="296" spans="1:18" ht="15" x14ac:dyDescent="0.25">
      <c r="A296" s="459"/>
      <c r="B296" s="572" t="s">
        <v>3212</v>
      </c>
      <c r="C296" s="570"/>
      <c r="D296" s="570"/>
      <c r="E296" s="570"/>
      <c r="F296" s="570"/>
      <c r="G296" s="570"/>
      <c r="H296" s="570">
        <v>150000</v>
      </c>
      <c r="I296" s="570"/>
      <c r="J296" s="570"/>
      <c r="K296" s="570"/>
      <c r="L296" s="570"/>
      <c r="M296" s="570"/>
      <c r="N296" s="571"/>
      <c r="O296" s="570"/>
      <c r="P296" s="570"/>
      <c r="Q296" s="570"/>
      <c r="R296" s="570"/>
    </row>
    <row r="297" spans="1:18" ht="28.5" x14ac:dyDescent="0.25">
      <c r="A297" s="459"/>
      <c r="B297" s="610" t="s">
        <v>4978</v>
      </c>
      <c r="C297" s="570"/>
      <c r="D297" s="570"/>
      <c r="E297" s="570"/>
      <c r="F297" s="570"/>
      <c r="G297" s="570"/>
      <c r="H297" s="570"/>
      <c r="I297" s="570"/>
      <c r="J297" s="570"/>
      <c r="K297" s="570"/>
      <c r="L297" s="570"/>
      <c r="M297" s="570"/>
      <c r="N297" s="571"/>
      <c r="O297" s="570">
        <v>6160000</v>
      </c>
      <c r="P297" s="570"/>
      <c r="Q297" s="570"/>
      <c r="R297" s="570"/>
    </row>
    <row r="298" spans="1:18" ht="28.5" x14ac:dyDescent="0.25">
      <c r="A298" s="459"/>
      <c r="B298" s="611" t="s">
        <v>4979</v>
      </c>
      <c r="C298" s="570"/>
      <c r="D298" s="570"/>
      <c r="E298" s="570"/>
      <c r="F298" s="570"/>
      <c r="G298" s="570"/>
      <c r="H298" s="570"/>
      <c r="I298" s="570"/>
      <c r="J298" s="570"/>
      <c r="K298" s="570"/>
      <c r="L298" s="570"/>
      <c r="M298" s="570"/>
      <c r="N298" s="571"/>
      <c r="O298" s="570"/>
      <c r="P298" s="570">
        <f>40000*9</f>
        <v>360000</v>
      </c>
      <c r="Q298" s="570"/>
      <c r="R298" s="570"/>
    </row>
    <row r="299" spans="1:18" ht="15" x14ac:dyDescent="0.25">
      <c r="A299" s="459"/>
      <c r="B299" s="720" t="s">
        <v>5424</v>
      </c>
      <c r="C299" s="570"/>
      <c r="D299" s="570"/>
      <c r="E299" s="570"/>
      <c r="F299" s="570"/>
      <c r="G299" s="570"/>
      <c r="H299" s="570"/>
      <c r="I299" s="570"/>
      <c r="J299" s="570"/>
      <c r="K299" s="570"/>
      <c r="L299" s="570">
        <f>2666000/2</f>
        <v>1333000</v>
      </c>
      <c r="M299" s="570"/>
      <c r="N299" s="571"/>
      <c r="O299" s="570"/>
      <c r="P299" s="570"/>
      <c r="Q299" s="570"/>
      <c r="R299" s="570"/>
    </row>
    <row r="300" spans="1:18" ht="15" x14ac:dyDescent="0.25">
      <c r="A300" s="459">
        <v>45096</v>
      </c>
      <c r="B300" s="720" t="s">
        <v>3210</v>
      </c>
      <c r="C300" s="570">
        <v>51800</v>
      </c>
      <c r="D300" s="570"/>
      <c r="E300" s="570"/>
      <c r="F300" s="570"/>
      <c r="G300" s="570"/>
      <c r="H300" s="570"/>
      <c r="I300" s="570"/>
      <c r="J300" s="570"/>
      <c r="K300" s="570"/>
      <c r="L300" s="570"/>
      <c r="M300" s="570"/>
      <c r="N300" s="571"/>
      <c r="O300" s="570"/>
      <c r="P300" s="570"/>
      <c r="Q300" s="570"/>
      <c r="R300" s="570"/>
    </row>
    <row r="301" spans="1:18" ht="15" x14ac:dyDescent="0.25">
      <c r="A301" s="459"/>
      <c r="B301" s="720" t="s">
        <v>5425</v>
      </c>
      <c r="C301" s="570"/>
      <c r="D301" s="570"/>
      <c r="E301" s="570"/>
      <c r="F301" s="570"/>
      <c r="G301" s="570"/>
      <c r="H301" s="570"/>
      <c r="I301" s="570">
        <v>1050000</v>
      </c>
      <c r="J301" s="570"/>
      <c r="K301" s="570"/>
      <c r="L301" s="570"/>
      <c r="M301" s="570"/>
      <c r="N301" s="571"/>
      <c r="O301" s="570"/>
      <c r="P301" s="570"/>
      <c r="Q301" s="570"/>
      <c r="R301" s="570"/>
    </row>
    <row r="302" spans="1:18" ht="15" x14ac:dyDescent="0.25">
      <c r="A302" s="459"/>
      <c r="B302" s="573" t="s">
        <v>3227</v>
      </c>
      <c r="C302" s="570"/>
      <c r="D302" s="570"/>
      <c r="E302" s="570">
        <v>35000</v>
      </c>
      <c r="F302" s="570"/>
      <c r="G302" s="570"/>
      <c r="H302" s="570"/>
      <c r="I302" s="570"/>
      <c r="J302" s="570"/>
      <c r="K302" s="570"/>
      <c r="L302" s="570"/>
      <c r="M302" s="570"/>
      <c r="N302" s="571"/>
      <c r="O302" s="570"/>
      <c r="P302" s="570"/>
      <c r="Q302" s="570"/>
      <c r="R302" s="570"/>
    </row>
    <row r="303" spans="1:18" ht="15" x14ac:dyDescent="0.25">
      <c r="A303" s="459"/>
      <c r="B303" s="719" t="s">
        <v>3218</v>
      </c>
      <c r="C303" s="570"/>
      <c r="D303" s="570"/>
      <c r="E303" s="570">
        <v>220000</v>
      </c>
      <c r="F303" s="570"/>
      <c r="G303" s="570"/>
      <c r="H303" s="570"/>
      <c r="I303" s="570"/>
      <c r="J303" s="570"/>
      <c r="K303" s="570"/>
      <c r="L303" s="570"/>
      <c r="M303" s="570"/>
      <c r="N303" s="571"/>
      <c r="O303" s="570"/>
      <c r="P303" s="570"/>
      <c r="Q303" s="570"/>
      <c r="R303" s="570"/>
    </row>
    <row r="304" spans="1:18" ht="15" x14ac:dyDescent="0.25">
      <c r="A304" s="459">
        <v>45098</v>
      </c>
      <c r="B304" s="569" t="s">
        <v>5426</v>
      </c>
      <c r="C304" s="570"/>
      <c r="D304" s="570"/>
      <c r="E304" s="570">
        <v>60000</v>
      </c>
      <c r="F304" s="570"/>
      <c r="G304" s="570"/>
      <c r="H304" s="570"/>
      <c r="I304" s="570"/>
      <c r="J304" s="570"/>
      <c r="K304" s="570"/>
      <c r="L304" s="570"/>
      <c r="M304" s="570"/>
      <c r="N304" s="571"/>
      <c r="O304" s="570"/>
      <c r="P304" s="570"/>
      <c r="Q304" s="570"/>
      <c r="R304" s="570"/>
    </row>
    <row r="305" spans="1:18" ht="15" x14ac:dyDescent="0.25">
      <c r="A305" s="459">
        <v>45099</v>
      </c>
      <c r="B305" s="572" t="s">
        <v>3224</v>
      </c>
      <c r="C305" s="570"/>
      <c r="D305" s="570"/>
      <c r="E305" s="570"/>
      <c r="F305" s="570">
        <v>3632000</v>
      </c>
      <c r="G305" s="570"/>
      <c r="H305" s="570"/>
      <c r="I305" s="570"/>
      <c r="J305" s="570"/>
      <c r="K305" s="570"/>
      <c r="L305" s="570"/>
      <c r="M305" s="570"/>
      <c r="N305" s="571"/>
      <c r="O305" s="570"/>
      <c r="P305" s="570"/>
      <c r="Q305" s="570"/>
      <c r="R305" s="570"/>
    </row>
    <row r="306" spans="1:18" ht="28.5" x14ac:dyDescent="0.25">
      <c r="A306" s="459">
        <v>45101</v>
      </c>
      <c r="B306" s="611" t="s">
        <v>4980</v>
      </c>
      <c r="C306" s="570"/>
      <c r="D306" s="570"/>
      <c r="E306" s="570"/>
      <c r="F306" s="570"/>
      <c r="G306" s="570"/>
      <c r="H306" s="570"/>
      <c r="I306" s="570"/>
      <c r="J306" s="570"/>
      <c r="K306" s="570"/>
      <c r="L306" s="570"/>
      <c r="M306" s="570"/>
      <c r="N306" s="571"/>
      <c r="O306" s="570"/>
      <c r="P306" s="570">
        <f>40000*9</f>
        <v>360000</v>
      </c>
      <c r="Q306" s="570"/>
      <c r="R306" s="570"/>
    </row>
    <row r="307" spans="1:18" ht="15" x14ac:dyDescent="0.25">
      <c r="A307" s="459">
        <v>45103</v>
      </c>
      <c r="B307" s="569" t="s">
        <v>3210</v>
      </c>
      <c r="C307" s="570">
        <v>52900</v>
      </c>
      <c r="D307" s="570"/>
      <c r="E307" s="570"/>
      <c r="F307" s="570"/>
      <c r="G307" s="570"/>
      <c r="H307" s="570"/>
      <c r="I307" s="570"/>
      <c r="J307" s="570"/>
      <c r="K307" s="570"/>
      <c r="L307" s="570"/>
      <c r="M307" s="570"/>
      <c r="N307" s="571"/>
      <c r="O307" s="570"/>
      <c r="P307" s="570"/>
      <c r="Q307" s="570"/>
      <c r="R307" s="570"/>
    </row>
    <row r="308" spans="1:18" ht="15" x14ac:dyDescent="0.25">
      <c r="A308" s="459">
        <v>45104</v>
      </c>
      <c r="B308" s="572" t="s">
        <v>3213</v>
      </c>
      <c r="C308" s="570"/>
      <c r="D308" s="570"/>
      <c r="E308" s="570"/>
      <c r="F308" s="570">
        <v>539000</v>
      </c>
      <c r="G308" s="570"/>
      <c r="H308" s="570"/>
      <c r="I308" s="570"/>
      <c r="J308" s="570"/>
      <c r="K308" s="570"/>
      <c r="L308" s="570"/>
      <c r="M308" s="570"/>
      <c r="N308" s="571"/>
      <c r="O308" s="570"/>
      <c r="P308" s="570"/>
      <c r="Q308" s="570"/>
      <c r="R308" s="570"/>
    </row>
    <row r="309" spans="1:18" ht="15" x14ac:dyDescent="0.25">
      <c r="A309" s="459">
        <v>45105</v>
      </c>
      <c r="B309" s="720" t="s">
        <v>5427</v>
      </c>
      <c r="C309" s="570"/>
      <c r="D309" s="570"/>
      <c r="E309" s="570"/>
      <c r="F309" s="570"/>
      <c r="G309" s="570"/>
      <c r="H309" s="570"/>
      <c r="I309" s="570"/>
      <c r="J309" s="570"/>
      <c r="K309" s="570"/>
      <c r="L309" s="570">
        <f>4250000/2</f>
        <v>2125000</v>
      </c>
      <c r="M309" s="570"/>
      <c r="N309" s="571"/>
      <c r="O309" s="570"/>
      <c r="P309" s="570"/>
      <c r="Q309" s="570"/>
      <c r="R309" s="570"/>
    </row>
    <row r="310" spans="1:18" ht="15" x14ac:dyDescent="0.25">
      <c r="A310" s="459"/>
      <c r="B310" s="720" t="s">
        <v>5428</v>
      </c>
      <c r="C310" s="570"/>
      <c r="D310" s="570"/>
      <c r="E310" s="570"/>
      <c r="F310" s="570"/>
      <c r="G310" s="570"/>
      <c r="H310" s="570"/>
      <c r="I310" s="570"/>
      <c r="J310" s="570"/>
      <c r="K310" s="570"/>
      <c r="L310" s="570">
        <f>2788000/2</f>
        <v>1394000</v>
      </c>
      <c r="M310" s="570"/>
      <c r="N310" s="571"/>
      <c r="O310" s="570"/>
      <c r="P310" s="570"/>
      <c r="Q310" s="570"/>
      <c r="R310" s="570"/>
    </row>
    <row r="311" spans="1:18" ht="15" x14ac:dyDescent="0.25">
      <c r="A311" s="459"/>
      <c r="B311" s="720" t="s">
        <v>5429</v>
      </c>
      <c r="C311" s="570"/>
      <c r="D311" s="570"/>
      <c r="E311" s="570"/>
      <c r="F311" s="570"/>
      <c r="G311" s="570"/>
      <c r="H311" s="570"/>
      <c r="I311" s="570"/>
      <c r="J311" s="570"/>
      <c r="K311" s="570"/>
      <c r="L311" s="570">
        <f>2112000/2</f>
        <v>1056000</v>
      </c>
      <c r="M311" s="570"/>
      <c r="N311" s="571"/>
      <c r="O311" s="570"/>
      <c r="P311" s="570"/>
      <c r="Q311" s="570"/>
      <c r="R311" s="570"/>
    </row>
    <row r="312" spans="1:18" ht="15" x14ac:dyDescent="0.25">
      <c r="A312" s="459"/>
      <c r="B312" s="720" t="s">
        <v>5430</v>
      </c>
      <c r="C312" s="570"/>
      <c r="D312" s="570"/>
      <c r="E312" s="570"/>
      <c r="F312" s="570"/>
      <c r="G312" s="570"/>
      <c r="H312" s="570"/>
      <c r="I312" s="570"/>
      <c r="J312" s="570"/>
      <c r="K312" s="570"/>
      <c r="L312" s="570">
        <f>1960000/2</f>
        <v>980000</v>
      </c>
      <c r="M312" s="570"/>
      <c r="N312" s="571"/>
      <c r="O312" s="570"/>
      <c r="P312" s="570"/>
      <c r="Q312" s="570"/>
      <c r="R312" s="570"/>
    </row>
    <row r="313" spans="1:18" ht="15" x14ac:dyDescent="0.25">
      <c r="A313" s="459">
        <v>45107</v>
      </c>
      <c r="B313" s="610" t="s">
        <v>2625</v>
      </c>
      <c r="C313" s="570"/>
      <c r="D313" s="570"/>
      <c r="E313" s="570"/>
      <c r="F313" s="570"/>
      <c r="G313" s="570"/>
      <c r="H313" s="570"/>
      <c r="I313" s="570"/>
      <c r="J313" s="570"/>
      <c r="K313" s="570"/>
      <c r="L313" s="570"/>
      <c r="M313" s="570"/>
      <c r="N313" s="571"/>
      <c r="O313" s="570">
        <v>22900000</v>
      </c>
      <c r="P313" s="570"/>
      <c r="Q313" s="570"/>
      <c r="R313" s="570"/>
    </row>
    <row r="314" spans="1:18" ht="15" x14ac:dyDescent="0.25">
      <c r="A314" s="459"/>
      <c r="B314" s="610" t="s">
        <v>2626</v>
      </c>
      <c r="C314" s="570"/>
      <c r="D314" s="570"/>
      <c r="E314" s="570"/>
      <c r="F314" s="570"/>
      <c r="G314" s="570"/>
      <c r="H314" s="570"/>
      <c r="I314" s="570"/>
      <c r="J314" s="570"/>
      <c r="K314" s="570"/>
      <c r="L314" s="570"/>
      <c r="M314" s="570">
        <v>5350000</v>
      </c>
      <c r="N314" s="571"/>
      <c r="O314" s="570"/>
      <c r="P314" s="570"/>
      <c r="Q314" s="570"/>
      <c r="R314" s="570"/>
    </row>
    <row r="315" spans="1:18" ht="15" x14ac:dyDescent="0.25">
      <c r="A315" s="535"/>
      <c r="B315" s="610" t="s">
        <v>2627</v>
      </c>
      <c r="C315" s="570"/>
      <c r="D315" s="570"/>
      <c r="E315" s="570"/>
      <c r="F315" s="570"/>
      <c r="G315" s="570"/>
      <c r="H315" s="570"/>
      <c r="I315" s="570"/>
      <c r="J315" s="570"/>
      <c r="K315" s="570"/>
      <c r="L315" s="570"/>
      <c r="M315" s="570"/>
      <c r="N315" s="571"/>
      <c r="O315" s="570"/>
      <c r="P315" s="570">
        <v>1400000</v>
      </c>
      <c r="Q315" s="570"/>
      <c r="R315" s="570"/>
    </row>
    <row r="316" spans="1:18" ht="16.5" x14ac:dyDescent="0.25">
      <c r="A316" s="462"/>
      <c r="B316" s="577" t="s">
        <v>38</v>
      </c>
      <c r="C316" s="578">
        <f>SUM(C268:C315)</f>
        <v>210500</v>
      </c>
      <c r="D316" s="578">
        <f t="shared" ref="D316:R316" si="5">SUM(D268:D315)</f>
        <v>480000</v>
      </c>
      <c r="E316" s="578">
        <f t="shared" si="5"/>
        <v>349000</v>
      </c>
      <c r="F316" s="578">
        <f t="shared" si="5"/>
        <v>8821000</v>
      </c>
      <c r="G316" s="578">
        <f t="shared" si="5"/>
        <v>3009500</v>
      </c>
      <c r="H316" s="578">
        <f t="shared" si="5"/>
        <v>1705000</v>
      </c>
      <c r="I316" s="578">
        <f t="shared" si="5"/>
        <v>5334221</v>
      </c>
      <c r="J316" s="578">
        <f t="shared" si="5"/>
        <v>1002500</v>
      </c>
      <c r="K316" s="578">
        <f t="shared" si="5"/>
        <v>535649</v>
      </c>
      <c r="L316" s="578">
        <f t="shared" si="5"/>
        <v>6888000</v>
      </c>
      <c r="M316" s="578">
        <f t="shared" si="5"/>
        <v>5350000</v>
      </c>
      <c r="N316" s="578">
        <f t="shared" si="5"/>
        <v>1995821</v>
      </c>
      <c r="O316" s="578">
        <f t="shared" si="5"/>
        <v>35000000</v>
      </c>
      <c r="P316" s="578">
        <f t="shared" si="5"/>
        <v>2880000</v>
      </c>
      <c r="Q316" s="578">
        <f t="shared" si="5"/>
        <v>0</v>
      </c>
      <c r="R316" s="578">
        <f t="shared" si="5"/>
        <v>0</v>
      </c>
    </row>
    <row r="317" spans="1:18" ht="16.5" x14ac:dyDescent="0.25">
      <c r="A317" s="461" t="s">
        <v>2555</v>
      </c>
      <c r="B317" s="579"/>
      <c r="C317" s="580"/>
      <c r="D317" s="580"/>
      <c r="E317" s="580"/>
      <c r="F317" s="580"/>
      <c r="G317" s="580"/>
      <c r="H317" s="580"/>
      <c r="I317" s="580"/>
      <c r="J317" s="580"/>
      <c r="K317" s="580"/>
      <c r="L317" s="580"/>
      <c r="M317" s="580"/>
      <c r="N317" s="581"/>
      <c r="O317" s="580"/>
      <c r="P317" s="580"/>
      <c r="Q317" s="582"/>
      <c r="R317" s="582"/>
    </row>
    <row r="318" spans="1:18" ht="15" x14ac:dyDescent="0.25">
      <c r="A318" s="458">
        <v>45108</v>
      </c>
      <c r="B318" s="572" t="s">
        <v>3226</v>
      </c>
      <c r="C318" s="570"/>
      <c r="D318" s="570"/>
      <c r="E318" s="570"/>
      <c r="F318" s="570"/>
      <c r="G318" s="570"/>
      <c r="H318" s="570">
        <v>193500</v>
      </c>
      <c r="I318" s="570"/>
      <c r="J318" s="570"/>
      <c r="K318" s="570"/>
      <c r="L318" s="570"/>
      <c r="M318" s="570"/>
      <c r="N318" s="571"/>
      <c r="O318" s="570"/>
      <c r="P318" s="570"/>
      <c r="Q318" s="570"/>
      <c r="R318" s="570"/>
    </row>
    <row r="319" spans="1:18" ht="15" x14ac:dyDescent="0.25">
      <c r="A319" s="717"/>
      <c r="B319" s="572" t="s">
        <v>5898</v>
      </c>
      <c r="C319" s="570"/>
      <c r="D319" s="570"/>
      <c r="E319" s="570"/>
      <c r="F319" s="570"/>
      <c r="G319" s="570"/>
      <c r="H319" s="570"/>
      <c r="I319" s="570">
        <v>350000</v>
      </c>
      <c r="J319" s="570"/>
      <c r="K319" s="570"/>
      <c r="L319" s="570"/>
      <c r="M319" s="570"/>
      <c r="N319" s="571"/>
      <c r="O319" s="570"/>
      <c r="P319" s="570"/>
      <c r="Q319" s="570"/>
      <c r="R319" s="570"/>
    </row>
    <row r="320" spans="1:18" ht="28.5" x14ac:dyDescent="0.25">
      <c r="A320" s="717"/>
      <c r="B320" s="610" t="s">
        <v>5487</v>
      </c>
      <c r="C320" s="570"/>
      <c r="D320" s="570"/>
      <c r="E320" s="570"/>
      <c r="F320" s="570"/>
      <c r="G320" s="570"/>
      <c r="H320" s="570"/>
      <c r="I320" s="570"/>
      <c r="J320" s="570"/>
      <c r="K320" s="570"/>
      <c r="L320" s="570"/>
      <c r="M320" s="570"/>
      <c r="N320" s="571"/>
      <c r="O320" s="570">
        <v>5830000</v>
      </c>
      <c r="P320" s="570"/>
      <c r="Q320" s="570"/>
      <c r="R320" s="570"/>
    </row>
    <row r="321" spans="1:18" ht="28.5" x14ac:dyDescent="0.25">
      <c r="A321" s="459"/>
      <c r="B321" s="611" t="s">
        <v>5486</v>
      </c>
      <c r="C321" s="570"/>
      <c r="D321" s="570"/>
      <c r="E321" s="570"/>
      <c r="F321" s="570"/>
      <c r="G321" s="570"/>
      <c r="H321" s="570"/>
      <c r="I321" s="570"/>
      <c r="J321" s="570"/>
      <c r="K321" s="570"/>
      <c r="L321" s="570"/>
      <c r="M321" s="570"/>
      <c r="N321" s="571"/>
      <c r="O321" s="570"/>
      <c r="P321" s="570">
        <f>40000*8</f>
        <v>320000</v>
      </c>
      <c r="Q321" s="570"/>
      <c r="R321" s="570"/>
    </row>
    <row r="322" spans="1:18" ht="15" x14ac:dyDescent="0.25">
      <c r="A322" s="459">
        <v>45110</v>
      </c>
      <c r="B322" s="572" t="s">
        <v>5870</v>
      </c>
      <c r="C322" s="570"/>
      <c r="D322" s="570"/>
      <c r="E322" s="570"/>
      <c r="F322" s="570"/>
      <c r="G322" s="570"/>
      <c r="H322" s="570"/>
      <c r="I322" s="570"/>
      <c r="J322" s="570"/>
      <c r="K322" s="570"/>
      <c r="L322" s="570"/>
      <c r="M322" s="570"/>
      <c r="N322" s="714">
        <v>1995821</v>
      </c>
      <c r="O322" s="570"/>
      <c r="P322" s="570"/>
      <c r="Q322" s="570"/>
      <c r="R322" s="570"/>
    </row>
    <row r="323" spans="1:18" ht="15" x14ac:dyDescent="0.25">
      <c r="A323" s="459"/>
      <c r="B323" s="569" t="s">
        <v>3210</v>
      </c>
      <c r="C323" s="570">
        <v>39000</v>
      </c>
      <c r="D323" s="570"/>
      <c r="E323" s="570"/>
      <c r="F323" s="570"/>
      <c r="G323" s="570"/>
      <c r="H323" s="570"/>
      <c r="I323" s="570"/>
      <c r="J323" s="570"/>
      <c r="K323" s="570"/>
      <c r="L323" s="570"/>
      <c r="M323" s="570"/>
      <c r="N323" s="571"/>
      <c r="O323" s="570"/>
      <c r="P323" s="570"/>
      <c r="Q323" s="570"/>
      <c r="R323" s="570"/>
    </row>
    <row r="324" spans="1:18" ht="15" x14ac:dyDescent="0.25">
      <c r="A324" s="459"/>
      <c r="B324" s="572" t="s">
        <v>3212</v>
      </c>
      <c r="C324" s="570"/>
      <c r="D324" s="570"/>
      <c r="E324" s="570"/>
      <c r="F324" s="570"/>
      <c r="G324" s="570"/>
      <c r="H324" s="570">
        <v>150000</v>
      </c>
      <c r="I324" s="570"/>
      <c r="J324" s="570"/>
      <c r="K324" s="570"/>
      <c r="L324" s="570"/>
      <c r="M324" s="570"/>
      <c r="N324" s="571"/>
      <c r="O324" s="570"/>
      <c r="P324" s="570"/>
      <c r="Q324" s="570"/>
      <c r="R324" s="570"/>
    </row>
    <row r="325" spans="1:18" ht="15" x14ac:dyDescent="0.25">
      <c r="A325" s="459"/>
      <c r="B325" s="572" t="s">
        <v>3214</v>
      </c>
      <c r="C325" s="570"/>
      <c r="D325" s="570"/>
      <c r="E325" s="570"/>
      <c r="F325" s="570"/>
      <c r="G325" s="570"/>
      <c r="H325" s="570">
        <v>200000</v>
      </c>
      <c r="I325" s="570"/>
      <c r="J325" s="570"/>
      <c r="K325" s="570"/>
      <c r="L325" s="570"/>
      <c r="M325" s="570"/>
      <c r="N325" s="571"/>
      <c r="O325" s="570"/>
      <c r="P325" s="570"/>
      <c r="Q325" s="570"/>
      <c r="R325" s="570"/>
    </row>
    <row r="326" spans="1:18" ht="15" x14ac:dyDescent="0.25">
      <c r="A326" s="459"/>
      <c r="B326" s="572" t="s">
        <v>3217</v>
      </c>
      <c r="C326" s="570"/>
      <c r="D326" s="570"/>
      <c r="E326" s="570"/>
      <c r="F326" s="570"/>
      <c r="G326" s="570">
        <v>13000</v>
      </c>
      <c r="H326" s="570"/>
      <c r="I326" s="570"/>
      <c r="J326" s="570"/>
      <c r="K326" s="570"/>
      <c r="L326" s="570"/>
      <c r="M326" s="570"/>
      <c r="N326" s="571"/>
      <c r="O326" s="570"/>
      <c r="P326" s="570"/>
      <c r="Q326" s="570"/>
      <c r="R326" s="570"/>
    </row>
    <row r="327" spans="1:18" ht="15" x14ac:dyDescent="0.25">
      <c r="A327" s="459"/>
      <c r="B327" s="572" t="s">
        <v>5899</v>
      </c>
      <c r="C327" s="570"/>
      <c r="D327" s="570"/>
      <c r="E327" s="570"/>
      <c r="F327" s="570"/>
      <c r="G327" s="570">
        <v>275000</v>
      </c>
      <c r="H327" s="570"/>
      <c r="I327" s="570"/>
      <c r="J327" s="570"/>
      <c r="K327" s="570"/>
      <c r="L327" s="570"/>
      <c r="M327" s="570"/>
      <c r="N327" s="571"/>
      <c r="O327" s="570"/>
      <c r="P327" s="570"/>
      <c r="Q327" s="570"/>
      <c r="R327" s="570"/>
    </row>
    <row r="328" spans="1:18" ht="15" x14ac:dyDescent="0.25">
      <c r="A328" s="459">
        <v>45111</v>
      </c>
      <c r="B328" s="572" t="s">
        <v>4140</v>
      </c>
      <c r="C328" s="570"/>
      <c r="D328" s="570"/>
      <c r="E328" s="570"/>
      <c r="F328" s="570"/>
      <c r="G328" s="570"/>
      <c r="H328" s="570"/>
      <c r="I328" s="570"/>
      <c r="J328" s="570"/>
      <c r="K328" s="570">
        <v>104000</v>
      </c>
      <c r="L328" s="570"/>
      <c r="M328" s="570"/>
      <c r="N328" s="571"/>
      <c r="O328" s="570"/>
      <c r="P328" s="570"/>
      <c r="Q328" s="570"/>
      <c r="R328" s="570"/>
    </row>
    <row r="329" spans="1:18" ht="15" x14ac:dyDescent="0.25">
      <c r="A329" s="459"/>
      <c r="B329" s="569" t="s">
        <v>3218</v>
      </c>
      <c r="C329" s="570"/>
      <c r="D329" s="570"/>
      <c r="E329" s="570">
        <v>220000</v>
      </c>
      <c r="F329" s="570"/>
      <c r="G329" s="570"/>
      <c r="H329" s="570"/>
      <c r="I329" s="570"/>
      <c r="J329" s="570"/>
      <c r="K329" s="570"/>
      <c r="L329" s="570"/>
      <c r="M329" s="570"/>
      <c r="N329" s="571"/>
      <c r="O329" s="570"/>
      <c r="P329" s="570"/>
      <c r="Q329" s="570"/>
      <c r="R329" s="570"/>
    </row>
    <row r="330" spans="1:18" ht="28.5" x14ac:dyDescent="0.25">
      <c r="A330" s="459">
        <v>45113</v>
      </c>
      <c r="B330" s="572" t="s">
        <v>5900</v>
      </c>
      <c r="C330" s="570"/>
      <c r="D330" s="570"/>
      <c r="E330" s="570"/>
      <c r="F330" s="570"/>
      <c r="G330" s="570"/>
      <c r="H330" s="570"/>
      <c r="I330" s="570"/>
      <c r="J330" s="570"/>
      <c r="K330" s="570"/>
      <c r="L330" s="570"/>
      <c r="M330" s="570"/>
      <c r="N330" s="571"/>
      <c r="O330" s="570"/>
      <c r="P330" s="570"/>
      <c r="Q330" s="570"/>
      <c r="R330" s="570">
        <f>20000+5000</f>
        <v>25000</v>
      </c>
    </row>
    <row r="331" spans="1:18" ht="15" x14ac:dyDescent="0.25">
      <c r="A331" s="459">
        <v>45115</v>
      </c>
      <c r="B331" s="610" t="s">
        <v>3207</v>
      </c>
      <c r="C331" s="570"/>
      <c r="D331" s="570"/>
      <c r="E331" s="570"/>
      <c r="F331" s="570"/>
      <c r="G331" s="570"/>
      <c r="H331" s="570"/>
      <c r="I331" s="570"/>
      <c r="J331" s="570"/>
      <c r="K331" s="570">
        <v>71555</v>
      </c>
      <c r="L331" s="570"/>
      <c r="M331" s="570"/>
      <c r="N331" s="571"/>
      <c r="O331" s="570"/>
      <c r="P331" s="570"/>
      <c r="Q331" s="570"/>
      <c r="R331" s="570"/>
    </row>
    <row r="332" spans="1:18" ht="15" x14ac:dyDescent="0.25">
      <c r="A332" s="459"/>
      <c r="B332" s="721" t="s">
        <v>3208</v>
      </c>
      <c r="C332" s="570"/>
      <c r="D332" s="570"/>
      <c r="E332" s="570"/>
      <c r="F332" s="570"/>
      <c r="G332" s="570"/>
      <c r="H332" s="570"/>
      <c r="I332" s="570"/>
      <c r="J332" s="570"/>
      <c r="K332" s="570">
        <v>355200</v>
      </c>
      <c r="L332" s="570"/>
      <c r="M332" s="570"/>
      <c r="N332" s="571"/>
      <c r="O332" s="570"/>
      <c r="P332" s="570"/>
      <c r="Q332" s="570"/>
      <c r="R332" s="570"/>
    </row>
    <row r="333" spans="1:18" ht="28.5" x14ac:dyDescent="0.25">
      <c r="A333" s="459"/>
      <c r="B333" s="611" t="s">
        <v>5488</v>
      </c>
      <c r="C333" s="570"/>
      <c r="D333" s="570"/>
      <c r="E333" s="570"/>
      <c r="F333" s="570"/>
      <c r="G333" s="570"/>
      <c r="H333" s="570"/>
      <c r="I333" s="570"/>
      <c r="J333" s="570"/>
      <c r="K333" s="570"/>
      <c r="L333" s="570"/>
      <c r="M333" s="570"/>
      <c r="N333" s="571"/>
      <c r="O333" s="570"/>
      <c r="P333" s="570">
        <f>40000*10</f>
        <v>400000</v>
      </c>
      <c r="Q333" s="570"/>
      <c r="R333" s="570"/>
    </row>
    <row r="334" spans="1:18" ht="15" x14ac:dyDescent="0.25">
      <c r="A334" s="459">
        <v>45117</v>
      </c>
      <c r="B334" s="569" t="s">
        <v>3210</v>
      </c>
      <c r="C334" s="570">
        <v>54000</v>
      </c>
      <c r="D334" s="570"/>
      <c r="E334" s="570"/>
      <c r="F334" s="570"/>
      <c r="G334" s="570"/>
      <c r="H334" s="570"/>
      <c r="I334" s="570"/>
      <c r="J334" s="570"/>
      <c r="K334" s="570"/>
      <c r="L334" s="570"/>
      <c r="M334" s="570"/>
      <c r="N334" s="571"/>
      <c r="O334" s="570"/>
      <c r="P334" s="570"/>
      <c r="Q334" s="570"/>
      <c r="R334" s="570"/>
    </row>
    <row r="335" spans="1:18" ht="15" x14ac:dyDescent="0.25">
      <c r="A335" s="459"/>
      <c r="B335" s="572" t="s">
        <v>5901</v>
      </c>
      <c r="C335" s="570"/>
      <c r="D335" s="570"/>
      <c r="E335" s="570"/>
      <c r="F335" s="570"/>
      <c r="G335" s="570"/>
      <c r="H335" s="570"/>
      <c r="I335" s="570">
        <v>400000</v>
      </c>
      <c r="J335" s="570"/>
      <c r="K335" s="570"/>
      <c r="L335" s="570"/>
      <c r="M335" s="570"/>
      <c r="N335" s="571"/>
      <c r="O335" s="570"/>
      <c r="P335" s="570"/>
      <c r="Q335" s="570"/>
      <c r="R335" s="570"/>
    </row>
    <row r="336" spans="1:18" ht="15" x14ac:dyDescent="0.25">
      <c r="A336" s="459"/>
      <c r="B336" s="585" t="s">
        <v>5902</v>
      </c>
      <c r="C336" s="570"/>
      <c r="D336" s="570"/>
      <c r="E336" s="570"/>
      <c r="F336" s="570"/>
      <c r="G336" s="570"/>
      <c r="H336" s="570"/>
      <c r="I336" s="570"/>
      <c r="J336" s="570"/>
      <c r="K336" s="570"/>
      <c r="L336" s="570"/>
      <c r="M336" s="570"/>
      <c r="N336" s="571">
        <f>75000+124200</f>
        <v>199200</v>
      </c>
      <c r="O336" s="570"/>
      <c r="P336" s="570"/>
      <c r="Q336" s="570"/>
      <c r="R336" s="570"/>
    </row>
    <row r="337" spans="1:18" ht="15" x14ac:dyDescent="0.25">
      <c r="A337" s="459"/>
      <c r="B337" s="585" t="s">
        <v>3215</v>
      </c>
      <c r="C337" s="570"/>
      <c r="D337" s="570"/>
      <c r="E337" s="570"/>
      <c r="F337" s="570"/>
      <c r="G337" s="570"/>
      <c r="H337" s="570">
        <v>250000</v>
      </c>
      <c r="I337" s="570"/>
      <c r="J337" s="570"/>
      <c r="K337" s="570"/>
      <c r="L337" s="570"/>
      <c r="M337" s="570"/>
      <c r="N337" s="571"/>
      <c r="O337" s="570"/>
      <c r="P337" s="570"/>
      <c r="Q337" s="570"/>
      <c r="R337" s="570"/>
    </row>
    <row r="338" spans="1:18" ht="15" x14ac:dyDescent="0.25">
      <c r="A338" s="459">
        <v>45118</v>
      </c>
      <c r="B338" s="585" t="s">
        <v>3222</v>
      </c>
      <c r="C338" s="570"/>
      <c r="D338" s="570"/>
      <c r="E338" s="570"/>
      <c r="F338" s="570"/>
      <c r="G338" s="570"/>
      <c r="H338" s="570">
        <v>150000</v>
      </c>
      <c r="I338" s="570"/>
      <c r="J338" s="570"/>
      <c r="K338" s="570"/>
      <c r="L338" s="570"/>
      <c r="M338" s="570"/>
      <c r="N338" s="571"/>
      <c r="O338" s="570"/>
      <c r="P338" s="570"/>
      <c r="Q338" s="570"/>
      <c r="R338" s="570"/>
    </row>
    <row r="339" spans="1:18" ht="15" x14ac:dyDescent="0.25">
      <c r="A339" s="459"/>
      <c r="B339" s="572" t="s">
        <v>3237</v>
      </c>
      <c r="C339" s="570"/>
      <c r="D339" s="570"/>
      <c r="E339" s="570"/>
      <c r="F339" s="570"/>
      <c r="G339" s="570"/>
      <c r="H339" s="570"/>
      <c r="I339" s="570"/>
      <c r="J339" s="570">
        <v>1002500</v>
      </c>
      <c r="K339" s="570"/>
      <c r="L339" s="570"/>
      <c r="M339" s="570"/>
      <c r="N339" s="571"/>
      <c r="O339" s="570"/>
      <c r="P339" s="570"/>
      <c r="Q339" s="570"/>
      <c r="R339" s="570"/>
    </row>
    <row r="340" spans="1:18" ht="15" x14ac:dyDescent="0.25">
      <c r="A340" s="459">
        <v>45119</v>
      </c>
      <c r="B340" s="572" t="s">
        <v>3210</v>
      </c>
      <c r="C340" s="570">
        <v>52500</v>
      </c>
      <c r="D340" s="570"/>
      <c r="E340" s="570"/>
      <c r="F340" s="570"/>
      <c r="G340" s="570"/>
      <c r="H340" s="570"/>
      <c r="I340" s="570"/>
      <c r="J340" s="570"/>
      <c r="K340" s="570"/>
      <c r="L340" s="570"/>
      <c r="M340" s="570"/>
      <c r="N340" s="571"/>
      <c r="O340" s="570"/>
      <c r="P340" s="570"/>
      <c r="Q340" s="570"/>
      <c r="R340" s="570"/>
    </row>
    <row r="341" spans="1:18" ht="15" x14ac:dyDescent="0.25">
      <c r="A341" s="459"/>
      <c r="B341" s="572" t="s">
        <v>5903</v>
      </c>
      <c r="C341" s="570"/>
      <c r="D341" s="570"/>
      <c r="E341" s="570"/>
      <c r="F341" s="570"/>
      <c r="G341" s="570"/>
      <c r="H341" s="570"/>
      <c r="I341" s="570">
        <v>3450000</v>
      </c>
      <c r="J341" s="570"/>
      <c r="K341" s="570"/>
      <c r="L341" s="570"/>
      <c r="M341" s="570"/>
      <c r="N341" s="571"/>
      <c r="O341" s="570"/>
      <c r="P341" s="570"/>
      <c r="Q341" s="570"/>
      <c r="R341" s="570"/>
    </row>
    <row r="342" spans="1:18" ht="15" x14ac:dyDescent="0.25">
      <c r="A342" s="459">
        <v>45122</v>
      </c>
      <c r="B342" s="572" t="s">
        <v>3225</v>
      </c>
      <c r="C342" s="570"/>
      <c r="D342" s="570"/>
      <c r="E342" s="570"/>
      <c r="F342" s="570"/>
      <c r="G342" s="570">
        <v>240000</v>
      </c>
      <c r="H342" s="570"/>
      <c r="I342" s="570"/>
      <c r="J342" s="570"/>
      <c r="K342" s="570"/>
      <c r="L342" s="570"/>
      <c r="M342" s="570"/>
      <c r="N342" s="571"/>
      <c r="O342" s="570"/>
      <c r="P342" s="570"/>
      <c r="Q342" s="570"/>
      <c r="R342" s="570"/>
    </row>
    <row r="343" spans="1:18" ht="28.5" x14ac:dyDescent="0.25">
      <c r="A343" s="459"/>
      <c r="B343" s="610" t="s">
        <v>5489</v>
      </c>
      <c r="C343" s="570"/>
      <c r="D343" s="570"/>
      <c r="E343" s="570"/>
      <c r="F343" s="570"/>
      <c r="G343" s="570"/>
      <c r="H343" s="570"/>
      <c r="I343" s="570"/>
      <c r="J343" s="570"/>
      <c r="K343" s="570"/>
      <c r="L343" s="570"/>
      <c r="M343" s="570"/>
      <c r="N343" s="571"/>
      <c r="O343" s="570">
        <v>6600000</v>
      </c>
      <c r="P343" s="570"/>
      <c r="Q343" s="570"/>
      <c r="R343" s="570"/>
    </row>
    <row r="344" spans="1:18" ht="28.5" x14ac:dyDescent="0.25">
      <c r="A344" s="459"/>
      <c r="B344" s="611" t="s">
        <v>5490</v>
      </c>
      <c r="C344" s="570"/>
      <c r="D344" s="570"/>
      <c r="E344" s="570"/>
      <c r="F344" s="570"/>
      <c r="G344" s="570"/>
      <c r="H344" s="570"/>
      <c r="I344" s="570"/>
      <c r="J344" s="570"/>
      <c r="K344" s="570"/>
      <c r="L344" s="570"/>
      <c r="M344" s="570"/>
      <c r="N344" s="571"/>
      <c r="O344" s="570"/>
      <c r="P344" s="570">
        <f>40000*10</f>
        <v>400000</v>
      </c>
      <c r="Q344" s="570"/>
      <c r="R344" s="570"/>
    </row>
    <row r="345" spans="1:18" ht="15" x14ac:dyDescent="0.25">
      <c r="A345" s="459">
        <v>45124</v>
      </c>
      <c r="B345" s="569" t="s">
        <v>3210</v>
      </c>
      <c r="C345" s="570">
        <v>55200</v>
      </c>
      <c r="D345" s="570"/>
      <c r="E345" s="570"/>
      <c r="F345" s="570"/>
      <c r="G345" s="570"/>
      <c r="H345" s="570"/>
      <c r="I345" s="570"/>
      <c r="J345" s="570"/>
      <c r="K345" s="570"/>
      <c r="L345" s="570"/>
      <c r="M345" s="570"/>
      <c r="N345" s="571"/>
      <c r="O345" s="570"/>
      <c r="P345" s="570"/>
      <c r="Q345" s="570"/>
      <c r="R345" s="570"/>
    </row>
    <row r="346" spans="1:18" ht="15" x14ac:dyDescent="0.25">
      <c r="A346" s="459"/>
      <c r="B346" s="569" t="s">
        <v>3218</v>
      </c>
      <c r="C346" s="570"/>
      <c r="D346" s="570"/>
      <c r="E346" s="570">
        <v>220000</v>
      </c>
      <c r="F346" s="570"/>
      <c r="G346" s="570"/>
      <c r="H346" s="570"/>
      <c r="I346" s="570"/>
      <c r="J346" s="570"/>
      <c r="K346" s="570"/>
      <c r="L346" s="570"/>
      <c r="M346" s="570"/>
      <c r="N346" s="571"/>
      <c r="O346" s="570"/>
      <c r="P346" s="570"/>
      <c r="Q346" s="570"/>
      <c r="R346" s="570"/>
    </row>
    <row r="347" spans="1:18" ht="15" x14ac:dyDescent="0.25">
      <c r="A347" s="459">
        <v>45125</v>
      </c>
      <c r="B347" s="569" t="s">
        <v>5904</v>
      </c>
      <c r="C347" s="570"/>
      <c r="D347" s="570"/>
      <c r="E347" s="570"/>
      <c r="F347" s="570"/>
      <c r="G347" s="570">
        <v>2988000</v>
      </c>
      <c r="H347" s="570"/>
      <c r="I347" s="570"/>
      <c r="J347" s="570"/>
      <c r="K347" s="570"/>
      <c r="L347" s="570"/>
      <c r="M347" s="570"/>
      <c r="N347" s="571"/>
      <c r="O347" s="570"/>
      <c r="P347" s="570"/>
      <c r="Q347" s="570"/>
      <c r="R347" s="570"/>
    </row>
    <row r="348" spans="1:18" ht="15" x14ac:dyDescent="0.25">
      <c r="A348" s="459">
        <v>45127</v>
      </c>
      <c r="B348" s="572" t="s">
        <v>4145</v>
      </c>
      <c r="C348" s="570"/>
      <c r="D348" s="570"/>
      <c r="E348" s="570"/>
      <c r="F348" s="570"/>
      <c r="G348" s="570">
        <v>501500</v>
      </c>
      <c r="H348" s="570"/>
      <c r="I348" s="570"/>
      <c r="J348" s="570"/>
      <c r="K348" s="570"/>
      <c r="L348" s="570"/>
      <c r="M348" s="570"/>
      <c r="N348" s="571"/>
      <c r="O348" s="570"/>
      <c r="P348" s="570"/>
      <c r="Q348" s="570"/>
      <c r="R348" s="570"/>
    </row>
    <row r="349" spans="1:18" ht="15" x14ac:dyDescent="0.25">
      <c r="A349" s="459"/>
      <c r="B349" s="572" t="s">
        <v>3232</v>
      </c>
      <c r="C349" s="570"/>
      <c r="D349" s="570"/>
      <c r="E349" s="570">
        <v>36000</v>
      </c>
      <c r="F349" s="570"/>
      <c r="G349" s="570"/>
      <c r="H349" s="570"/>
      <c r="I349" s="570"/>
      <c r="J349" s="570"/>
      <c r="K349" s="570"/>
      <c r="L349" s="570"/>
      <c r="M349" s="570"/>
      <c r="N349" s="571"/>
      <c r="O349" s="570"/>
      <c r="P349" s="570"/>
      <c r="Q349" s="570"/>
      <c r="R349" s="570"/>
    </row>
    <row r="350" spans="1:18" ht="15" x14ac:dyDescent="0.25">
      <c r="A350" s="459">
        <v>45129</v>
      </c>
      <c r="B350" s="572" t="s">
        <v>4140</v>
      </c>
      <c r="C350" s="570"/>
      <c r="D350" s="570"/>
      <c r="E350" s="570"/>
      <c r="F350" s="570"/>
      <c r="G350" s="570"/>
      <c r="H350" s="570"/>
      <c r="I350" s="570"/>
      <c r="J350" s="570"/>
      <c r="K350" s="570">
        <v>52000</v>
      </c>
      <c r="L350" s="570"/>
      <c r="M350" s="570"/>
      <c r="N350" s="571"/>
      <c r="O350" s="570"/>
      <c r="P350" s="570"/>
      <c r="Q350" s="570"/>
      <c r="R350" s="570"/>
    </row>
    <row r="351" spans="1:18" ht="28.5" x14ac:dyDescent="0.25">
      <c r="A351" s="459"/>
      <c r="B351" s="611" t="s">
        <v>5491</v>
      </c>
      <c r="C351" s="570"/>
      <c r="D351" s="570"/>
      <c r="E351" s="570"/>
      <c r="F351" s="570"/>
      <c r="G351" s="570"/>
      <c r="H351" s="570"/>
      <c r="I351" s="570"/>
      <c r="J351" s="570"/>
      <c r="K351" s="570"/>
      <c r="L351" s="570"/>
      <c r="M351" s="570"/>
      <c r="N351" s="571"/>
      <c r="O351" s="570"/>
      <c r="P351" s="570">
        <f>40000*10</f>
        <v>400000</v>
      </c>
      <c r="Q351" s="570"/>
      <c r="R351" s="570"/>
    </row>
    <row r="352" spans="1:18" ht="15" x14ac:dyDescent="0.25">
      <c r="A352" s="459">
        <v>45131</v>
      </c>
      <c r="B352" s="569" t="s">
        <v>3210</v>
      </c>
      <c r="C352" s="570">
        <v>49000</v>
      </c>
      <c r="D352" s="570"/>
      <c r="E352" s="570"/>
      <c r="F352" s="570"/>
      <c r="G352" s="570"/>
      <c r="H352" s="570"/>
      <c r="I352" s="570"/>
      <c r="J352" s="570"/>
      <c r="K352" s="570"/>
      <c r="L352" s="570"/>
      <c r="M352" s="570"/>
      <c r="N352" s="571"/>
      <c r="O352" s="570"/>
      <c r="P352" s="570"/>
      <c r="Q352" s="570"/>
      <c r="R352" s="570"/>
    </row>
    <row r="353" spans="1:18" ht="15" x14ac:dyDescent="0.25">
      <c r="A353" s="459">
        <v>45134</v>
      </c>
      <c r="B353" s="572" t="s">
        <v>3224</v>
      </c>
      <c r="C353" s="570"/>
      <c r="D353" s="570"/>
      <c r="E353" s="570"/>
      <c r="F353" s="570">
        <v>3050000</v>
      </c>
      <c r="G353" s="570"/>
      <c r="H353" s="570"/>
      <c r="I353" s="570"/>
      <c r="J353" s="570"/>
      <c r="K353" s="570"/>
      <c r="L353" s="570"/>
      <c r="M353" s="570"/>
      <c r="N353" s="571"/>
      <c r="O353" s="570"/>
      <c r="P353" s="570"/>
      <c r="Q353" s="570"/>
      <c r="R353" s="570"/>
    </row>
    <row r="354" spans="1:18" ht="15" x14ac:dyDescent="0.25">
      <c r="A354" s="459"/>
      <c r="B354" s="572" t="s">
        <v>5905</v>
      </c>
      <c r="C354" s="570"/>
      <c r="D354" s="570">
        <v>100000</v>
      </c>
      <c r="E354" s="570"/>
      <c r="F354" s="570"/>
      <c r="G354" s="570"/>
      <c r="H354" s="570"/>
      <c r="I354" s="570"/>
      <c r="J354" s="570"/>
      <c r="K354" s="570"/>
      <c r="L354" s="570"/>
      <c r="M354" s="570"/>
      <c r="N354" s="571"/>
      <c r="O354" s="570"/>
      <c r="P354" s="570"/>
      <c r="Q354" s="570"/>
      <c r="R354" s="570"/>
    </row>
    <row r="355" spans="1:18" ht="15" x14ac:dyDescent="0.25">
      <c r="A355" s="459"/>
      <c r="B355" s="720" t="s">
        <v>5906</v>
      </c>
      <c r="C355" s="570"/>
      <c r="D355" s="570"/>
      <c r="E355" s="570"/>
      <c r="F355" s="570"/>
      <c r="G355" s="570"/>
      <c r="H355" s="570"/>
      <c r="I355" s="570"/>
      <c r="J355" s="570"/>
      <c r="K355" s="570"/>
      <c r="L355" s="570">
        <f>(2039000+1185000+1974000)/2</f>
        <v>2599000</v>
      </c>
      <c r="M355" s="570"/>
      <c r="N355" s="571"/>
      <c r="O355" s="570"/>
      <c r="P355" s="570"/>
      <c r="Q355" s="570"/>
      <c r="R355" s="570"/>
    </row>
    <row r="356" spans="1:18" ht="15" x14ac:dyDescent="0.25">
      <c r="A356" s="459"/>
      <c r="B356" s="720" t="s">
        <v>5907</v>
      </c>
      <c r="C356" s="570"/>
      <c r="D356" s="570"/>
      <c r="E356" s="570"/>
      <c r="F356" s="570"/>
      <c r="G356" s="570"/>
      <c r="H356" s="570"/>
      <c r="I356" s="570"/>
      <c r="J356" s="570"/>
      <c r="K356" s="570"/>
      <c r="L356" s="570">
        <f>(1946000+1993000)/2</f>
        <v>1969500</v>
      </c>
      <c r="M356" s="570"/>
      <c r="N356" s="571"/>
      <c r="O356" s="570"/>
      <c r="P356" s="570"/>
      <c r="Q356" s="570"/>
      <c r="R356" s="570"/>
    </row>
    <row r="357" spans="1:18" ht="15" x14ac:dyDescent="0.25">
      <c r="A357" s="459"/>
      <c r="B357" s="720" t="s">
        <v>5908</v>
      </c>
      <c r="C357" s="570"/>
      <c r="D357" s="570"/>
      <c r="E357" s="570"/>
      <c r="F357" s="570"/>
      <c r="G357" s="570"/>
      <c r="H357" s="570"/>
      <c r="I357" s="570"/>
      <c r="J357" s="570"/>
      <c r="K357" s="570"/>
      <c r="L357" s="570">
        <f>2324000/2</f>
        <v>1162000</v>
      </c>
      <c r="M357" s="570"/>
      <c r="N357" s="571"/>
      <c r="O357" s="570"/>
      <c r="P357" s="570"/>
      <c r="Q357" s="570"/>
      <c r="R357" s="570"/>
    </row>
    <row r="358" spans="1:18" ht="15" x14ac:dyDescent="0.25">
      <c r="A358" s="459"/>
      <c r="B358" s="720" t="s">
        <v>5909</v>
      </c>
      <c r="C358" s="570"/>
      <c r="D358" s="570"/>
      <c r="E358" s="570"/>
      <c r="F358" s="570"/>
      <c r="G358" s="570"/>
      <c r="H358" s="570"/>
      <c r="I358" s="570"/>
      <c r="J358" s="570"/>
      <c r="K358" s="570"/>
      <c r="L358" s="570">
        <f>2752500/2</f>
        <v>1376250</v>
      </c>
      <c r="M358" s="570"/>
      <c r="N358" s="571"/>
      <c r="O358" s="570"/>
      <c r="P358" s="570"/>
      <c r="Q358" s="570"/>
      <c r="R358" s="570"/>
    </row>
    <row r="359" spans="1:18" ht="15" x14ac:dyDescent="0.25">
      <c r="A359" s="459"/>
      <c r="B359" s="720" t="s">
        <v>5910</v>
      </c>
      <c r="C359" s="570"/>
      <c r="D359" s="570"/>
      <c r="E359" s="570"/>
      <c r="F359" s="570"/>
      <c r="G359" s="570"/>
      <c r="H359" s="570"/>
      <c r="I359" s="570"/>
      <c r="J359" s="570"/>
      <c r="K359" s="570"/>
      <c r="L359" s="570">
        <f>2679000/2</f>
        <v>1339500</v>
      </c>
      <c r="M359" s="570"/>
      <c r="N359" s="571"/>
      <c r="O359" s="570"/>
      <c r="P359" s="570"/>
      <c r="Q359" s="570"/>
      <c r="R359" s="570"/>
    </row>
    <row r="360" spans="1:18" ht="15" x14ac:dyDescent="0.25">
      <c r="A360" s="459">
        <v>45136</v>
      </c>
      <c r="B360" s="720" t="s">
        <v>3218</v>
      </c>
      <c r="C360" s="570"/>
      <c r="D360" s="570"/>
      <c r="E360" s="570">
        <v>220000</v>
      </c>
      <c r="F360" s="570"/>
      <c r="G360" s="570"/>
      <c r="H360" s="570"/>
      <c r="I360" s="570"/>
      <c r="J360" s="570"/>
      <c r="K360" s="570"/>
      <c r="L360" s="570"/>
      <c r="M360" s="570"/>
      <c r="N360" s="571"/>
      <c r="O360" s="570"/>
      <c r="P360" s="570"/>
      <c r="Q360" s="570"/>
      <c r="R360" s="570"/>
    </row>
    <row r="361" spans="1:18" ht="28.5" x14ac:dyDescent="0.25">
      <c r="A361" s="459"/>
      <c r="B361" s="610" t="s">
        <v>5492</v>
      </c>
      <c r="C361" s="570"/>
      <c r="D361" s="570"/>
      <c r="E361" s="570"/>
      <c r="F361" s="570"/>
      <c r="G361" s="570"/>
      <c r="H361" s="570"/>
      <c r="I361" s="570"/>
      <c r="J361" s="570"/>
      <c r="K361" s="570"/>
      <c r="L361" s="570"/>
      <c r="M361" s="570"/>
      <c r="N361" s="571"/>
      <c r="O361" s="570">
        <v>6050000</v>
      </c>
      <c r="P361" s="570"/>
      <c r="Q361" s="570"/>
      <c r="R361" s="570"/>
    </row>
    <row r="362" spans="1:18" ht="28.5" x14ac:dyDescent="0.25">
      <c r="A362" s="459"/>
      <c r="B362" s="611" t="s">
        <v>5493</v>
      </c>
      <c r="C362" s="570"/>
      <c r="D362" s="570"/>
      <c r="E362" s="570"/>
      <c r="F362" s="570"/>
      <c r="G362" s="570"/>
      <c r="H362" s="570"/>
      <c r="I362" s="570"/>
      <c r="J362" s="570"/>
      <c r="K362" s="570"/>
      <c r="L362" s="570"/>
      <c r="M362" s="570"/>
      <c r="N362" s="571"/>
      <c r="O362" s="570"/>
      <c r="P362" s="570">
        <f>40000*9</f>
        <v>360000</v>
      </c>
      <c r="Q362" s="570"/>
      <c r="R362" s="570"/>
    </row>
    <row r="363" spans="1:18" ht="15" x14ac:dyDescent="0.25">
      <c r="A363" s="459">
        <v>45138</v>
      </c>
      <c r="B363" s="569" t="s">
        <v>3210</v>
      </c>
      <c r="C363" s="570">
        <v>52900</v>
      </c>
      <c r="D363" s="570"/>
      <c r="E363" s="570"/>
      <c r="F363" s="570"/>
      <c r="G363" s="570"/>
      <c r="H363" s="570"/>
      <c r="I363" s="570"/>
      <c r="J363" s="570"/>
      <c r="K363" s="570"/>
      <c r="L363" s="570"/>
      <c r="M363" s="570"/>
      <c r="N363" s="571"/>
      <c r="O363" s="570"/>
      <c r="P363" s="570"/>
      <c r="Q363" s="570"/>
      <c r="R363" s="570"/>
    </row>
    <row r="364" spans="1:18" ht="15" x14ac:dyDescent="0.25">
      <c r="A364" s="459"/>
      <c r="B364" s="610" t="s">
        <v>2625</v>
      </c>
      <c r="C364" s="570"/>
      <c r="D364" s="570"/>
      <c r="E364" s="570"/>
      <c r="F364" s="570"/>
      <c r="G364" s="570"/>
      <c r="H364" s="570"/>
      <c r="I364" s="570"/>
      <c r="J364" s="570"/>
      <c r="K364" s="570"/>
      <c r="L364" s="570"/>
      <c r="M364" s="570"/>
      <c r="N364" s="571"/>
      <c r="O364" s="570">
        <v>22900000</v>
      </c>
      <c r="P364" s="570"/>
      <c r="Q364" s="570"/>
      <c r="R364" s="570"/>
    </row>
    <row r="365" spans="1:18" ht="15" x14ac:dyDescent="0.25">
      <c r="A365" s="459"/>
      <c r="B365" s="610" t="s">
        <v>2626</v>
      </c>
      <c r="C365" s="570"/>
      <c r="D365" s="570"/>
      <c r="E365" s="570"/>
      <c r="F365" s="570"/>
      <c r="G365" s="570"/>
      <c r="H365" s="570"/>
      <c r="I365" s="570"/>
      <c r="J365" s="570"/>
      <c r="K365" s="570"/>
      <c r="L365" s="570"/>
      <c r="M365" s="570">
        <v>5359500</v>
      </c>
      <c r="N365" s="571"/>
      <c r="O365" s="570"/>
      <c r="P365" s="570"/>
      <c r="Q365" s="570"/>
      <c r="R365" s="570"/>
    </row>
    <row r="366" spans="1:18" ht="15" x14ac:dyDescent="0.25">
      <c r="A366" s="535"/>
      <c r="B366" s="610" t="s">
        <v>2627</v>
      </c>
      <c r="C366" s="570"/>
      <c r="D366" s="570"/>
      <c r="E366" s="570"/>
      <c r="F366" s="570"/>
      <c r="G366" s="570"/>
      <c r="H366" s="570"/>
      <c r="I366" s="570"/>
      <c r="J366" s="570"/>
      <c r="K366" s="570"/>
      <c r="L366" s="570"/>
      <c r="M366" s="570"/>
      <c r="N366" s="571"/>
      <c r="O366" s="570"/>
      <c r="P366" s="570">
        <v>1400000</v>
      </c>
      <c r="Q366" s="570"/>
      <c r="R366" s="570"/>
    </row>
    <row r="367" spans="1:18" ht="16.5" x14ac:dyDescent="0.25">
      <c r="A367" s="462"/>
      <c r="B367" s="577" t="s">
        <v>38</v>
      </c>
      <c r="C367" s="578">
        <f t="shared" ref="C367:R367" si="6">SUM(C320:C366)</f>
        <v>302600</v>
      </c>
      <c r="D367" s="578">
        <f t="shared" si="6"/>
        <v>100000</v>
      </c>
      <c r="E367" s="578">
        <f t="shared" si="6"/>
        <v>696000</v>
      </c>
      <c r="F367" s="578">
        <f t="shared" si="6"/>
        <v>3050000</v>
      </c>
      <c r="G367" s="578">
        <f t="shared" si="6"/>
        <v>4017500</v>
      </c>
      <c r="H367" s="578">
        <f t="shared" si="6"/>
        <v>750000</v>
      </c>
      <c r="I367" s="578">
        <f t="shared" si="6"/>
        <v>3850000</v>
      </c>
      <c r="J367" s="578">
        <f t="shared" si="6"/>
        <v>1002500</v>
      </c>
      <c r="K367" s="578">
        <f t="shared" si="6"/>
        <v>582755</v>
      </c>
      <c r="L367" s="578">
        <f t="shared" si="6"/>
        <v>8446250</v>
      </c>
      <c r="M367" s="578">
        <f t="shared" si="6"/>
        <v>5359500</v>
      </c>
      <c r="N367" s="578">
        <f t="shared" si="6"/>
        <v>2195021</v>
      </c>
      <c r="O367" s="578">
        <f t="shared" si="6"/>
        <v>41380000</v>
      </c>
      <c r="P367" s="578">
        <f t="shared" si="6"/>
        <v>3280000</v>
      </c>
      <c r="Q367" s="578">
        <f t="shared" si="6"/>
        <v>0</v>
      </c>
      <c r="R367" s="578">
        <f t="shared" si="6"/>
        <v>25000</v>
      </c>
    </row>
    <row r="368" spans="1:18" ht="16.5" x14ac:dyDescent="0.25">
      <c r="A368" s="461" t="s">
        <v>2556</v>
      </c>
      <c r="B368" s="579"/>
      <c r="C368" s="580"/>
      <c r="D368" s="580"/>
      <c r="E368" s="580"/>
      <c r="F368" s="580"/>
      <c r="G368" s="580"/>
      <c r="H368" s="580"/>
      <c r="I368" s="580"/>
      <c r="J368" s="580"/>
      <c r="K368" s="580"/>
      <c r="L368" s="580"/>
      <c r="M368" s="580"/>
      <c r="N368" s="581"/>
      <c r="O368" s="580"/>
      <c r="P368" s="580"/>
      <c r="Q368" s="582"/>
      <c r="R368" s="582"/>
    </row>
    <row r="369" spans="1:18" ht="15" x14ac:dyDescent="0.25">
      <c r="A369" s="458">
        <v>45139</v>
      </c>
      <c r="B369" s="720" t="s">
        <v>3213</v>
      </c>
      <c r="C369" s="570"/>
      <c r="D369" s="570"/>
      <c r="E369" s="570"/>
      <c r="F369" s="570">
        <f>271500+354059</f>
        <v>625559</v>
      </c>
      <c r="G369" s="570"/>
      <c r="H369" s="570"/>
      <c r="I369" s="570"/>
      <c r="J369" s="570"/>
      <c r="K369" s="570"/>
      <c r="L369" s="570"/>
      <c r="M369" s="570"/>
      <c r="N369" s="571"/>
      <c r="O369" s="570"/>
      <c r="P369" s="570"/>
      <c r="Q369" s="570"/>
      <c r="R369" s="570"/>
    </row>
    <row r="370" spans="1:18" ht="15" x14ac:dyDescent="0.25">
      <c r="A370" s="459"/>
      <c r="B370" s="602" t="s">
        <v>3212</v>
      </c>
      <c r="C370" s="570"/>
      <c r="D370" s="570"/>
      <c r="E370" s="570"/>
      <c r="F370" s="570"/>
      <c r="G370" s="570"/>
      <c r="H370" s="570">
        <v>100000</v>
      </c>
      <c r="I370" s="570"/>
      <c r="J370" s="570"/>
      <c r="K370" s="570"/>
      <c r="L370" s="570"/>
      <c r="M370" s="570"/>
      <c r="N370" s="571"/>
      <c r="O370" s="570"/>
      <c r="P370" s="570"/>
      <c r="Q370" s="570"/>
      <c r="R370" s="570"/>
    </row>
    <row r="371" spans="1:18" ht="15" x14ac:dyDescent="0.25">
      <c r="A371" s="459">
        <v>45141</v>
      </c>
      <c r="B371" s="572" t="s">
        <v>6282</v>
      </c>
      <c r="C371" s="570"/>
      <c r="D371" s="570"/>
      <c r="E371" s="570"/>
      <c r="F371" s="570"/>
      <c r="G371" s="570"/>
      <c r="H371" s="570">
        <v>200000</v>
      </c>
      <c r="I371" s="570"/>
      <c r="J371" s="570"/>
      <c r="K371" s="570"/>
      <c r="L371" s="570"/>
      <c r="M371" s="570"/>
      <c r="N371" s="571"/>
      <c r="O371" s="570"/>
      <c r="P371" s="570"/>
      <c r="Q371" s="570"/>
      <c r="R371" s="570"/>
    </row>
    <row r="372" spans="1:18" ht="15" x14ac:dyDescent="0.25">
      <c r="A372" s="459">
        <v>45142</v>
      </c>
      <c r="B372" s="572" t="s">
        <v>3212</v>
      </c>
      <c r="C372" s="570"/>
      <c r="D372" s="570"/>
      <c r="E372" s="570"/>
      <c r="F372" s="570"/>
      <c r="G372" s="570"/>
      <c r="H372" s="570">
        <v>150000</v>
      </c>
      <c r="I372" s="570"/>
      <c r="J372" s="570"/>
      <c r="K372" s="570"/>
      <c r="L372" s="570"/>
      <c r="M372" s="570"/>
      <c r="N372" s="571"/>
      <c r="O372" s="570"/>
      <c r="P372" s="570"/>
      <c r="Q372" s="570"/>
      <c r="R372" s="570"/>
    </row>
    <row r="373" spans="1:18" ht="42.75" x14ac:dyDescent="0.25">
      <c r="A373" s="459"/>
      <c r="B373" s="572" t="s">
        <v>6283</v>
      </c>
      <c r="C373" s="570"/>
      <c r="D373" s="570"/>
      <c r="E373" s="570"/>
      <c r="F373" s="570"/>
      <c r="G373" s="570"/>
      <c r="H373" s="570"/>
      <c r="I373" s="570">
        <v>623000</v>
      </c>
      <c r="J373" s="570"/>
      <c r="K373" s="570"/>
      <c r="L373" s="570"/>
      <c r="M373" s="570"/>
      <c r="N373" s="571"/>
      <c r="O373" s="570"/>
      <c r="P373" s="570"/>
      <c r="Q373" s="570"/>
      <c r="R373" s="570"/>
    </row>
    <row r="374" spans="1:18" ht="15" x14ac:dyDescent="0.25">
      <c r="A374" s="459"/>
      <c r="B374" s="572" t="s">
        <v>6284</v>
      </c>
      <c r="C374" s="570"/>
      <c r="D374" s="570"/>
      <c r="E374" s="570"/>
      <c r="F374" s="570"/>
      <c r="G374" s="570"/>
      <c r="H374" s="570"/>
      <c r="I374" s="570">
        <v>45000</v>
      </c>
      <c r="J374" s="570"/>
      <c r="K374" s="570"/>
      <c r="L374" s="570"/>
      <c r="M374" s="570"/>
      <c r="N374" s="571"/>
      <c r="O374" s="570"/>
      <c r="P374" s="570"/>
      <c r="Q374" s="570"/>
      <c r="R374" s="570"/>
    </row>
    <row r="375" spans="1:18" ht="15" x14ac:dyDescent="0.25">
      <c r="A375" s="459">
        <v>45143</v>
      </c>
      <c r="B375" s="572" t="s">
        <v>6285</v>
      </c>
      <c r="C375" s="570"/>
      <c r="D375" s="570"/>
      <c r="E375" s="570"/>
      <c r="F375" s="570"/>
      <c r="G375" s="570">
        <v>1644000</v>
      </c>
      <c r="H375" s="570"/>
      <c r="I375" s="570"/>
      <c r="J375" s="570"/>
      <c r="K375" s="570"/>
      <c r="L375" s="570"/>
      <c r="M375" s="570"/>
      <c r="N375" s="571"/>
      <c r="O375" s="570"/>
      <c r="P375" s="570"/>
      <c r="Q375" s="570"/>
      <c r="R375" s="570"/>
    </row>
    <row r="376" spans="1:18" ht="28.5" x14ac:dyDescent="0.25">
      <c r="A376" s="459"/>
      <c r="B376" s="611" t="s">
        <v>5935</v>
      </c>
      <c r="C376" s="570"/>
      <c r="D376" s="570"/>
      <c r="E376" s="570"/>
      <c r="F376" s="570"/>
      <c r="G376" s="570"/>
      <c r="H376" s="570"/>
      <c r="I376" s="570"/>
      <c r="J376" s="570"/>
      <c r="K376" s="570"/>
      <c r="L376" s="570"/>
      <c r="M376" s="570"/>
      <c r="N376" s="571"/>
      <c r="O376" s="570"/>
      <c r="P376" s="570">
        <f>40000*8</f>
        <v>320000</v>
      </c>
      <c r="Q376" s="570"/>
      <c r="R376" s="570"/>
    </row>
    <row r="377" spans="1:18" ht="15" x14ac:dyDescent="0.25">
      <c r="A377" s="459"/>
      <c r="B377" s="572" t="s">
        <v>5941</v>
      </c>
      <c r="C377" s="570"/>
      <c r="D377" s="570"/>
      <c r="E377" s="570"/>
      <c r="F377" s="570"/>
      <c r="G377" s="570"/>
      <c r="H377" s="570"/>
      <c r="I377" s="570"/>
      <c r="J377" s="570"/>
      <c r="K377" s="570"/>
      <c r="L377" s="570"/>
      <c r="M377" s="570"/>
      <c r="N377" s="714">
        <v>1995821</v>
      </c>
      <c r="O377" s="570"/>
      <c r="P377" s="570"/>
      <c r="Q377" s="570"/>
      <c r="R377" s="570"/>
    </row>
    <row r="378" spans="1:18" ht="15" x14ac:dyDescent="0.25">
      <c r="A378" s="459">
        <v>45145</v>
      </c>
      <c r="B378" s="572" t="s">
        <v>3210</v>
      </c>
      <c r="C378" s="570">
        <v>58700</v>
      </c>
      <c r="D378" s="570"/>
      <c r="E378" s="570"/>
      <c r="F378" s="570"/>
      <c r="G378" s="570"/>
      <c r="H378" s="570"/>
      <c r="I378" s="570"/>
      <c r="J378" s="570"/>
      <c r="K378" s="570"/>
      <c r="L378" s="570"/>
      <c r="M378" s="570"/>
      <c r="N378" s="571"/>
      <c r="O378" s="570"/>
      <c r="P378" s="570"/>
      <c r="Q378" s="570"/>
      <c r="R378" s="570"/>
    </row>
    <row r="379" spans="1:18" ht="15" x14ac:dyDescent="0.25">
      <c r="A379" s="459"/>
      <c r="B379" s="572" t="s">
        <v>3224</v>
      </c>
      <c r="C379" s="570"/>
      <c r="D379" s="570"/>
      <c r="E379" s="570"/>
      <c r="F379" s="570">
        <v>4730000</v>
      </c>
      <c r="G379" s="570"/>
      <c r="H379" s="570"/>
      <c r="I379" s="570"/>
      <c r="J379" s="570"/>
      <c r="K379" s="570"/>
      <c r="L379" s="570"/>
      <c r="M379" s="570"/>
      <c r="N379" s="571"/>
      <c r="O379" s="570"/>
      <c r="P379" s="570"/>
      <c r="Q379" s="570"/>
      <c r="R379" s="570"/>
    </row>
    <row r="380" spans="1:18" ht="15" x14ac:dyDescent="0.25">
      <c r="A380" s="459">
        <v>45146</v>
      </c>
      <c r="B380" s="610" t="s">
        <v>3207</v>
      </c>
      <c r="C380" s="570"/>
      <c r="D380" s="570"/>
      <c r="E380" s="570"/>
      <c r="F380" s="570"/>
      <c r="G380" s="570"/>
      <c r="H380" s="570"/>
      <c r="I380" s="570"/>
      <c r="J380" s="570"/>
      <c r="K380" s="570">
        <v>83571</v>
      </c>
      <c r="L380" s="570"/>
      <c r="M380" s="570"/>
      <c r="N380" s="571"/>
      <c r="O380" s="570"/>
      <c r="P380" s="570"/>
      <c r="Q380" s="570"/>
      <c r="R380" s="570"/>
    </row>
    <row r="381" spans="1:18" ht="15" x14ac:dyDescent="0.25">
      <c r="A381" s="459"/>
      <c r="B381" s="721" t="s">
        <v>3208</v>
      </c>
      <c r="C381" s="570"/>
      <c r="D381" s="570"/>
      <c r="E381" s="570"/>
      <c r="F381" s="570"/>
      <c r="G381" s="570"/>
      <c r="H381" s="570"/>
      <c r="I381" s="570"/>
      <c r="J381" s="570"/>
      <c r="K381" s="570">
        <v>355200</v>
      </c>
      <c r="L381" s="570"/>
      <c r="M381" s="570"/>
      <c r="N381" s="571"/>
      <c r="O381" s="570"/>
      <c r="P381" s="570"/>
      <c r="Q381" s="570"/>
      <c r="R381" s="570"/>
    </row>
    <row r="382" spans="1:18" ht="15" x14ac:dyDescent="0.25">
      <c r="A382" s="459"/>
      <c r="B382" s="720" t="s">
        <v>6280</v>
      </c>
      <c r="C382" s="570"/>
      <c r="D382" s="570"/>
      <c r="E382" s="570"/>
      <c r="F382" s="570"/>
      <c r="G382" s="570"/>
      <c r="H382" s="570"/>
      <c r="I382" s="570"/>
      <c r="J382" s="570"/>
      <c r="K382" s="570"/>
      <c r="L382" s="570">
        <f>3685000/2</f>
        <v>1842500</v>
      </c>
      <c r="M382" s="570"/>
      <c r="N382" s="571"/>
      <c r="O382" s="570"/>
      <c r="P382" s="570"/>
      <c r="Q382" s="570"/>
      <c r="R382" s="570"/>
    </row>
    <row r="383" spans="1:18" ht="15" x14ac:dyDescent="0.25">
      <c r="A383" s="459"/>
      <c r="B383" s="720" t="s">
        <v>6281</v>
      </c>
      <c r="C383" s="570"/>
      <c r="D383" s="570"/>
      <c r="E383" s="570"/>
      <c r="F383" s="570"/>
      <c r="G383" s="570"/>
      <c r="H383" s="570"/>
      <c r="I383" s="570"/>
      <c r="J383" s="570"/>
      <c r="K383" s="570"/>
      <c r="L383" s="570">
        <f>3340000/2</f>
        <v>1670000</v>
      </c>
      <c r="M383" s="570"/>
      <c r="N383" s="571"/>
      <c r="O383" s="570"/>
      <c r="P383" s="570"/>
      <c r="Q383" s="570"/>
      <c r="R383" s="570"/>
    </row>
    <row r="384" spans="1:18" ht="15" x14ac:dyDescent="0.25">
      <c r="A384" s="459"/>
      <c r="B384" s="720" t="s">
        <v>6292</v>
      </c>
      <c r="C384" s="570"/>
      <c r="D384" s="570"/>
      <c r="E384" s="570"/>
      <c r="F384" s="570"/>
      <c r="G384" s="570"/>
      <c r="H384" s="570"/>
      <c r="I384" s="570"/>
      <c r="J384" s="570"/>
      <c r="K384" s="570"/>
      <c r="L384" s="570">
        <f>3452000/2</f>
        <v>1726000</v>
      </c>
      <c r="M384" s="570"/>
      <c r="N384" s="571"/>
      <c r="O384" s="570"/>
      <c r="P384" s="570"/>
      <c r="Q384" s="570"/>
      <c r="R384" s="570"/>
    </row>
    <row r="385" spans="1:18" ht="15" x14ac:dyDescent="0.25">
      <c r="A385" s="459"/>
      <c r="B385" s="720" t="s">
        <v>6293</v>
      </c>
      <c r="C385" s="570"/>
      <c r="D385" s="570"/>
      <c r="E385" s="570"/>
      <c r="F385" s="570"/>
      <c r="G385" s="570"/>
      <c r="H385" s="570"/>
      <c r="I385" s="570"/>
      <c r="J385" s="570"/>
      <c r="K385" s="570"/>
      <c r="L385" s="570">
        <f>2208000/2</f>
        <v>1104000</v>
      </c>
      <c r="M385" s="570"/>
      <c r="N385" s="571"/>
      <c r="O385" s="570"/>
      <c r="P385" s="570"/>
      <c r="Q385" s="570"/>
      <c r="R385" s="570"/>
    </row>
    <row r="386" spans="1:18" ht="15" x14ac:dyDescent="0.25">
      <c r="A386" s="459"/>
      <c r="B386" s="720" t="s">
        <v>6294</v>
      </c>
      <c r="C386" s="570"/>
      <c r="D386" s="570"/>
      <c r="E386" s="570"/>
      <c r="F386" s="570"/>
      <c r="G386" s="570"/>
      <c r="H386" s="570"/>
      <c r="I386" s="570"/>
      <c r="J386" s="570"/>
      <c r="K386" s="570"/>
      <c r="L386" s="570">
        <f>2397000/2</f>
        <v>1198500</v>
      </c>
      <c r="M386" s="570"/>
      <c r="N386" s="571"/>
      <c r="O386" s="570"/>
      <c r="P386" s="570"/>
      <c r="Q386" s="570"/>
      <c r="R386" s="570"/>
    </row>
    <row r="387" spans="1:18" ht="15" x14ac:dyDescent="0.25">
      <c r="A387" s="459"/>
      <c r="B387" s="720" t="s">
        <v>3215</v>
      </c>
      <c r="C387" s="570"/>
      <c r="D387" s="570"/>
      <c r="E387" s="570"/>
      <c r="F387" s="570"/>
      <c r="G387" s="570"/>
      <c r="H387" s="570">
        <v>240000</v>
      </c>
      <c r="I387" s="570"/>
      <c r="J387" s="570"/>
      <c r="K387" s="570"/>
      <c r="L387" s="570"/>
      <c r="M387" s="570"/>
      <c r="N387" s="571"/>
      <c r="O387" s="570"/>
      <c r="P387" s="570"/>
      <c r="Q387" s="570"/>
      <c r="R387" s="570"/>
    </row>
    <row r="388" spans="1:18" ht="15" x14ac:dyDescent="0.25">
      <c r="A388" s="459"/>
      <c r="B388" s="585" t="s">
        <v>3212</v>
      </c>
      <c r="C388" s="570"/>
      <c r="D388" s="570"/>
      <c r="E388" s="570"/>
      <c r="F388" s="570"/>
      <c r="G388" s="570"/>
      <c r="H388" s="570">
        <v>150000</v>
      </c>
      <c r="I388" s="570"/>
      <c r="J388" s="570"/>
      <c r="K388" s="570"/>
      <c r="L388" s="570"/>
      <c r="M388" s="570"/>
      <c r="N388" s="571"/>
      <c r="O388" s="570"/>
      <c r="P388" s="570"/>
      <c r="Q388" s="570"/>
      <c r="R388" s="570"/>
    </row>
    <row r="389" spans="1:18" ht="57" x14ac:dyDescent="0.25">
      <c r="A389" s="459">
        <v>45148</v>
      </c>
      <c r="B389" s="572" t="s">
        <v>6286</v>
      </c>
      <c r="C389" s="570"/>
      <c r="D389" s="570"/>
      <c r="E389" s="570"/>
      <c r="F389" s="570"/>
      <c r="G389" s="570"/>
      <c r="H389" s="570"/>
      <c r="I389" s="570">
        <f>509000+698000</f>
        <v>1207000</v>
      </c>
      <c r="J389" s="570"/>
      <c r="K389" s="570"/>
      <c r="L389" s="570"/>
      <c r="M389" s="570"/>
      <c r="N389" s="571"/>
      <c r="O389" s="570"/>
      <c r="P389" s="570"/>
      <c r="Q389" s="570"/>
      <c r="R389" s="570"/>
    </row>
    <row r="390" spans="1:18" ht="15" x14ac:dyDescent="0.25">
      <c r="A390" s="459">
        <v>45149</v>
      </c>
      <c r="B390" s="585" t="s">
        <v>3218</v>
      </c>
      <c r="C390" s="570"/>
      <c r="D390" s="570"/>
      <c r="E390" s="570">
        <v>220000</v>
      </c>
      <c r="F390" s="570"/>
      <c r="G390" s="570"/>
      <c r="H390" s="570"/>
      <c r="I390" s="570"/>
      <c r="J390" s="570"/>
      <c r="K390" s="570"/>
      <c r="L390" s="570"/>
      <c r="M390" s="570"/>
      <c r="N390" s="571"/>
      <c r="O390" s="570"/>
      <c r="P390" s="570"/>
      <c r="Q390" s="570"/>
      <c r="R390" s="570"/>
    </row>
    <row r="391" spans="1:18" ht="15" x14ac:dyDescent="0.25">
      <c r="A391" s="459"/>
      <c r="B391" s="572" t="s">
        <v>6287</v>
      </c>
      <c r="C391" s="570"/>
      <c r="D391" s="570"/>
      <c r="E391" s="570"/>
      <c r="F391" s="570"/>
      <c r="G391" s="570">
        <v>275000</v>
      </c>
      <c r="H391" s="570"/>
      <c r="I391" s="570"/>
      <c r="J391" s="570"/>
      <c r="K391" s="570"/>
      <c r="L391" s="570"/>
      <c r="M391" s="570"/>
      <c r="N391" s="571"/>
      <c r="O391" s="570"/>
      <c r="P391" s="570"/>
      <c r="Q391" s="570"/>
      <c r="R391" s="570"/>
    </row>
    <row r="392" spans="1:18" ht="28.5" x14ac:dyDescent="0.25">
      <c r="A392" s="459">
        <v>45150</v>
      </c>
      <c r="B392" s="610" t="s">
        <v>5936</v>
      </c>
      <c r="C392" s="570"/>
      <c r="D392" s="570"/>
      <c r="E392" s="570"/>
      <c r="F392" s="570"/>
      <c r="G392" s="570"/>
      <c r="H392" s="570"/>
      <c r="I392" s="570"/>
      <c r="J392" s="570"/>
      <c r="K392" s="570"/>
      <c r="L392" s="570"/>
      <c r="M392" s="570"/>
      <c r="N392" s="571"/>
      <c r="O392" s="570">
        <v>6160000</v>
      </c>
      <c r="P392" s="570"/>
      <c r="Q392" s="570"/>
      <c r="R392" s="570"/>
    </row>
    <row r="393" spans="1:18" ht="28.5" x14ac:dyDescent="0.25">
      <c r="A393" s="459"/>
      <c r="B393" s="611" t="s">
        <v>5937</v>
      </c>
      <c r="C393" s="570"/>
      <c r="D393" s="570"/>
      <c r="E393" s="570"/>
      <c r="F393" s="570"/>
      <c r="G393" s="570"/>
      <c r="H393" s="570"/>
      <c r="I393" s="570"/>
      <c r="J393" s="570"/>
      <c r="K393" s="570"/>
      <c r="L393" s="570"/>
      <c r="M393" s="570"/>
      <c r="N393" s="571"/>
      <c r="O393" s="570"/>
      <c r="P393" s="570">
        <f>40000*6</f>
        <v>240000</v>
      </c>
      <c r="Q393" s="570"/>
      <c r="R393" s="570"/>
    </row>
    <row r="394" spans="1:18" ht="15" x14ac:dyDescent="0.25">
      <c r="A394" s="459">
        <v>45152</v>
      </c>
      <c r="B394" s="572" t="s">
        <v>3210</v>
      </c>
      <c r="C394" s="570">
        <v>56400</v>
      </c>
      <c r="D394" s="570"/>
      <c r="E394" s="570"/>
      <c r="F394" s="570"/>
      <c r="G394" s="570"/>
      <c r="H394" s="570"/>
      <c r="I394" s="570"/>
      <c r="J394" s="570"/>
      <c r="K394" s="570"/>
      <c r="L394" s="570"/>
      <c r="M394" s="570"/>
      <c r="N394" s="571"/>
      <c r="O394" s="570"/>
      <c r="P394" s="570"/>
      <c r="Q394" s="570"/>
      <c r="R394" s="570"/>
    </row>
    <row r="395" spans="1:18" ht="15" x14ac:dyDescent="0.25">
      <c r="A395" s="459"/>
      <c r="B395" s="572" t="s">
        <v>3225</v>
      </c>
      <c r="C395" s="570"/>
      <c r="D395" s="570"/>
      <c r="E395" s="570"/>
      <c r="F395" s="570"/>
      <c r="G395" s="570">
        <v>240000</v>
      </c>
      <c r="H395" s="570"/>
      <c r="I395" s="570"/>
      <c r="J395" s="570"/>
      <c r="K395" s="570"/>
      <c r="L395" s="570"/>
      <c r="M395" s="570"/>
      <c r="N395" s="571"/>
      <c r="O395" s="570"/>
      <c r="P395" s="570"/>
      <c r="Q395" s="570"/>
      <c r="R395" s="570"/>
    </row>
    <row r="396" spans="1:18" ht="15" x14ac:dyDescent="0.25">
      <c r="A396" s="459">
        <v>45153</v>
      </c>
      <c r="B396" s="573" t="s">
        <v>5902</v>
      </c>
      <c r="C396" s="570"/>
      <c r="D396" s="570"/>
      <c r="E396" s="570">
        <v>73600</v>
      </c>
      <c r="F396" s="570"/>
      <c r="G396" s="570"/>
      <c r="H396" s="570"/>
      <c r="I396" s="570"/>
      <c r="J396" s="570"/>
      <c r="K396" s="570"/>
      <c r="L396" s="570"/>
      <c r="M396" s="570"/>
      <c r="N396" s="571"/>
      <c r="O396" s="570"/>
      <c r="P396" s="570"/>
      <c r="Q396" s="570"/>
      <c r="R396" s="570"/>
    </row>
    <row r="397" spans="1:18" ht="15" x14ac:dyDescent="0.25">
      <c r="A397" s="459"/>
      <c r="B397" s="572" t="s">
        <v>6288</v>
      </c>
      <c r="C397" s="570">
        <v>480000</v>
      </c>
      <c r="D397" s="570"/>
      <c r="E397" s="570"/>
      <c r="F397" s="570"/>
      <c r="G397" s="570"/>
      <c r="H397" s="570"/>
      <c r="I397" s="570"/>
      <c r="J397" s="570"/>
      <c r="K397" s="570"/>
      <c r="L397" s="570"/>
      <c r="M397" s="570"/>
      <c r="N397" s="571"/>
      <c r="O397" s="570"/>
      <c r="P397" s="570"/>
      <c r="Q397" s="570"/>
      <c r="R397" s="570"/>
    </row>
    <row r="398" spans="1:18" ht="15" customHeight="1" x14ac:dyDescent="0.25">
      <c r="A398" s="459">
        <v>45157</v>
      </c>
      <c r="B398" s="572" t="s">
        <v>4140</v>
      </c>
      <c r="C398" s="570"/>
      <c r="D398" s="570"/>
      <c r="E398" s="570"/>
      <c r="F398" s="570"/>
      <c r="G398" s="570"/>
      <c r="H398" s="570"/>
      <c r="I398" s="570"/>
      <c r="J398" s="570"/>
      <c r="K398" s="570">
        <v>104000</v>
      </c>
      <c r="L398" s="570"/>
      <c r="M398" s="570"/>
      <c r="N398" s="571"/>
      <c r="O398" s="570"/>
      <c r="P398" s="570"/>
      <c r="Q398" s="570"/>
      <c r="R398" s="570"/>
    </row>
    <row r="399" spans="1:18" ht="15" customHeight="1" x14ac:dyDescent="0.25">
      <c r="A399" s="459"/>
      <c r="B399" s="572" t="s">
        <v>6289</v>
      </c>
      <c r="C399" s="570"/>
      <c r="D399" s="570"/>
      <c r="E399" s="570"/>
      <c r="F399" s="570"/>
      <c r="G399" s="570">
        <f>2962000*2</f>
        <v>5924000</v>
      </c>
      <c r="H399" s="570"/>
      <c r="I399" s="570"/>
      <c r="J399" s="570"/>
      <c r="K399" s="570"/>
      <c r="L399" s="570"/>
      <c r="M399" s="570"/>
      <c r="N399" s="571"/>
      <c r="O399" s="570"/>
      <c r="P399" s="570"/>
      <c r="Q399" s="570"/>
      <c r="R399" s="570"/>
    </row>
    <row r="400" spans="1:18" ht="28.5" x14ac:dyDescent="0.25">
      <c r="A400" s="459">
        <v>45157</v>
      </c>
      <c r="B400" s="611" t="s">
        <v>5938</v>
      </c>
      <c r="C400" s="570"/>
      <c r="D400" s="570"/>
      <c r="E400" s="570"/>
      <c r="F400" s="570"/>
      <c r="G400" s="570"/>
      <c r="H400" s="570"/>
      <c r="I400" s="570"/>
      <c r="J400" s="570"/>
      <c r="K400" s="570"/>
      <c r="L400" s="570"/>
      <c r="M400" s="570"/>
      <c r="N400" s="571"/>
      <c r="O400" s="570"/>
      <c r="P400" s="570">
        <f>40000*8</f>
        <v>320000</v>
      </c>
      <c r="Q400" s="570"/>
      <c r="R400" s="570"/>
    </row>
    <row r="401" spans="1:18" ht="15" x14ac:dyDescent="0.25">
      <c r="A401" s="459">
        <v>45159</v>
      </c>
      <c r="B401" s="572" t="s">
        <v>3210</v>
      </c>
      <c r="C401" s="570">
        <v>55000</v>
      </c>
      <c r="D401" s="570"/>
      <c r="E401" s="570"/>
      <c r="F401" s="570"/>
      <c r="G401" s="570"/>
      <c r="H401" s="570"/>
      <c r="I401" s="570"/>
      <c r="J401" s="570"/>
      <c r="K401" s="570"/>
      <c r="L401" s="570"/>
      <c r="M401" s="570"/>
      <c r="N401" s="571"/>
      <c r="O401" s="570"/>
      <c r="P401" s="570"/>
      <c r="Q401" s="570"/>
      <c r="R401" s="570"/>
    </row>
    <row r="402" spans="1:18" ht="15" x14ac:dyDescent="0.25">
      <c r="A402" s="459"/>
      <c r="B402" s="569" t="s">
        <v>3213</v>
      </c>
      <c r="C402" s="570"/>
      <c r="D402" s="570"/>
      <c r="E402" s="570"/>
      <c r="F402" s="570">
        <v>645000</v>
      </c>
      <c r="G402" s="570"/>
      <c r="H402" s="570"/>
      <c r="I402" s="570"/>
      <c r="J402" s="570"/>
      <c r="K402" s="570"/>
      <c r="L402" s="570"/>
      <c r="M402" s="570"/>
      <c r="N402" s="571"/>
      <c r="O402" s="570"/>
      <c r="P402" s="570"/>
      <c r="Q402" s="570"/>
      <c r="R402" s="570"/>
    </row>
    <row r="403" spans="1:18" ht="15" x14ac:dyDescent="0.25">
      <c r="A403" s="459"/>
      <c r="B403" s="572" t="s">
        <v>6290</v>
      </c>
      <c r="C403" s="570"/>
      <c r="D403" s="570">
        <v>490000</v>
      </c>
      <c r="E403" s="570"/>
      <c r="F403" s="570"/>
      <c r="G403" s="570"/>
      <c r="H403" s="570"/>
      <c r="I403" s="570"/>
      <c r="J403" s="570"/>
      <c r="K403" s="570"/>
      <c r="L403" s="570"/>
      <c r="M403" s="570"/>
      <c r="N403" s="571"/>
      <c r="O403" s="570"/>
      <c r="P403" s="570"/>
      <c r="Q403" s="570"/>
      <c r="R403" s="570"/>
    </row>
    <row r="404" spans="1:18" ht="15" x14ac:dyDescent="0.25">
      <c r="A404" s="459">
        <v>45163</v>
      </c>
      <c r="B404" s="572" t="s">
        <v>4140</v>
      </c>
      <c r="C404" s="570"/>
      <c r="D404" s="570"/>
      <c r="E404" s="570"/>
      <c r="F404" s="570"/>
      <c r="G404" s="570"/>
      <c r="H404" s="570"/>
      <c r="I404" s="570"/>
      <c r="J404" s="570"/>
      <c r="K404" s="570">
        <v>52000</v>
      </c>
      <c r="L404" s="570"/>
      <c r="M404" s="570"/>
      <c r="N404" s="571"/>
      <c r="O404" s="570"/>
      <c r="P404" s="570"/>
      <c r="Q404" s="570"/>
      <c r="R404" s="570"/>
    </row>
    <row r="405" spans="1:18" ht="15" x14ac:dyDescent="0.25">
      <c r="A405" s="459"/>
      <c r="B405" s="572" t="s">
        <v>3237</v>
      </c>
      <c r="C405" s="570"/>
      <c r="D405" s="570"/>
      <c r="E405" s="570"/>
      <c r="F405" s="570"/>
      <c r="G405" s="570"/>
      <c r="H405" s="570"/>
      <c r="I405" s="570"/>
      <c r="J405" s="570">
        <v>1002500</v>
      </c>
      <c r="K405" s="570"/>
      <c r="L405" s="570"/>
      <c r="M405" s="570"/>
      <c r="N405" s="571"/>
      <c r="O405" s="570"/>
      <c r="P405" s="570"/>
      <c r="Q405" s="570"/>
      <c r="R405" s="570"/>
    </row>
    <row r="406" spans="1:18" ht="28.5" x14ac:dyDescent="0.25">
      <c r="A406" s="459">
        <v>45164</v>
      </c>
      <c r="B406" s="610" t="s">
        <v>5939</v>
      </c>
      <c r="C406" s="570"/>
      <c r="D406" s="570"/>
      <c r="E406" s="570"/>
      <c r="F406" s="570"/>
      <c r="G406" s="570"/>
      <c r="H406" s="570"/>
      <c r="I406" s="570"/>
      <c r="J406" s="570"/>
      <c r="K406" s="570"/>
      <c r="L406" s="570"/>
      <c r="M406" s="570"/>
      <c r="N406" s="571"/>
      <c r="O406" s="570">
        <v>5610000</v>
      </c>
      <c r="P406" s="570"/>
      <c r="Q406" s="570"/>
      <c r="R406" s="570"/>
    </row>
    <row r="407" spans="1:18" ht="28.5" x14ac:dyDescent="0.25">
      <c r="A407" s="459"/>
      <c r="B407" s="611" t="s">
        <v>5940</v>
      </c>
      <c r="C407" s="570"/>
      <c r="D407" s="570"/>
      <c r="E407" s="570"/>
      <c r="F407" s="570"/>
      <c r="G407" s="570"/>
      <c r="H407" s="570"/>
      <c r="I407" s="570"/>
      <c r="J407" s="570"/>
      <c r="K407" s="570"/>
      <c r="L407" s="570"/>
      <c r="M407" s="570"/>
      <c r="N407" s="571"/>
      <c r="O407" s="570"/>
      <c r="P407" s="570">
        <f>40000*10</f>
        <v>400000</v>
      </c>
      <c r="Q407" s="570"/>
      <c r="R407" s="570"/>
    </row>
    <row r="408" spans="1:18" ht="15" x14ac:dyDescent="0.25">
      <c r="A408" s="459">
        <v>45166</v>
      </c>
      <c r="B408" s="569" t="s">
        <v>6291</v>
      </c>
      <c r="C408" s="570"/>
      <c r="D408" s="570"/>
      <c r="E408" s="570"/>
      <c r="F408" s="570"/>
      <c r="G408" s="570"/>
      <c r="H408" s="570"/>
      <c r="I408" s="570">
        <v>255000</v>
      </c>
      <c r="J408" s="570"/>
      <c r="K408" s="570"/>
      <c r="L408" s="570"/>
      <c r="M408" s="570"/>
      <c r="N408" s="571"/>
      <c r="O408" s="570"/>
      <c r="P408" s="570"/>
      <c r="Q408" s="570"/>
      <c r="R408" s="570"/>
    </row>
    <row r="409" spans="1:18" ht="15" x14ac:dyDescent="0.25">
      <c r="A409" s="459"/>
      <c r="B409" s="572" t="s">
        <v>6598</v>
      </c>
      <c r="C409" s="570"/>
      <c r="D409" s="570"/>
      <c r="E409" s="570"/>
      <c r="F409" s="570"/>
      <c r="G409" s="570"/>
      <c r="H409" s="570">
        <v>62500</v>
      </c>
      <c r="I409" s="570"/>
      <c r="J409" s="570"/>
      <c r="K409" s="570"/>
      <c r="L409" s="570"/>
      <c r="M409" s="570"/>
      <c r="N409" s="571"/>
      <c r="O409" s="570"/>
      <c r="P409" s="570"/>
      <c r="Q409" s="570"/>
      <c r="R409" s="570"/>
    </row>
    <row r="410" spans="1:18" ht="15" x14ac:dyDescent="0.25">
      <c r="A410" s="459">
        <v>45169</v>
      </c>
      <c r="B410" s="610" t="s">
        <v>2625</v>
      </c>
      <c r="C410" s="570"/>
      <c r="D410" s="570"/>
      <c r="E410" s="570"/>
      <c r="F410" s="570"/>
      <c r="G410" s="570"/>
      <c r="H410" s="570"/>
      <c r="I410" s="570"/>
      <c r="J410" s="570"/>
      <c r="K410" s="570"/>
      <c r="L410" s="570"/>
      <c r="M410" s="570"/>
      <c r="N410" s="571"/>
      <c r="O410" s="570">
        <v>19400000</v>
      </c>
      <c r="P410" s="570"/>
      <c r="Q410" s="570"/>
      <c r="R410" s="570"/>
    </row>
    <row r="411" spans="1:18" ht="15" x14ac:dyDescent="0.25">
      <c r="A411" s="459"/>
      <c r="B411" s="610" t="s">
        <v>2626</v>
      </c>
      <c r="C411" s="570"/>
      <c r="D411" s="570"/>
      <c r="E411" s="570"/>
      <c r="F411" s="570"/>
      <c r="G411" s="570"/>
      <c r="H411" s="570"/>
      <c r="I411" s="570"/>
      <c r="J411" s="570"/>
      <c r="K411" s="570"/>
      <c r="L411" s="570"/>
      <c r="M411" s="570">
        <v>5257000</v>
      </c>
      <c r="N411" s="571"/>
      <c r="O411" s="570"/>
      <c r="P411" s="570"/>
      <c r="Q411" s="570"/>
      <c r="R411" s="570"/>
    </row>
    <row r="412" spans="1:18" ht="15" x14ac:dyDescent="0.25">
      <c r="A412" s="535"/>
      <c r="B412" s="610" t="s">
        <v>2627</v>
      </c>
      <c r="C412" s="570"/>
      <c r="D412" s="570"/>
      <c r="E412" s="570"/>
      <c r="F412" s="570"/>
      <c r="G412" s="570"/>
      <c r="H412" s="570"/>
      <c r="I412" s="570"/>
      <c r="J412" s="570"/>
      <c r="K412" s="570"/>
      <c r="L412" s="570"/>
      <c r="M412" s="570"/>
      <c r="N412" s="571"/>
      <c r="O412" s="570"/>
      <c r="P412" s="570">
        <v>1200000</v>
      </c>
      <c r="Q412" s="570"/>
      <c r="R412" s="570"/>
    </row>
    <row r="413" spans="1:18" ht="16.5" x14ac:dyDescent="0.25">
      <c r="A413" s="462"/>
      <c r="B413" s="577" t="s">
        <v>38</v>
      </c>
      <c r="C413" s="578">
        <f t="shared" ref="C413:R413" si="7">SUM(C369:C412)</f>
        <v>650100</v>
      </c>
      <c r="D413" s="578">
        <f t="shared" si="7"/>
        <v>490000</v>
      </c>
      <c r="E413" s="578">
        <f t="shared" si="7"/>
        <v>293600</v>
      </c>
      <c r="F413" s="578">
        <f t="shared" si="7"/>
        <v>6000559</v>
      </c>
      <c r="G413" s="578">
        <f t="shared" si="7"/>
        <v>8083000</v>
      </c>
      <c r="H413" s="578">
        <f t="shared" si="7"/>
        <v>902500</v>
      </c>
      <c r="I413" s="578">
        <f t="shared" si="7"/>
        <v>2130000</v>
      </c>
      <c r="J413" s="578">
        <f t="shared" si="7"/>
        <v>1002500</v>
      </c>
      <c r="K413" s="578">
        <f t="shared" si="7"/>
        <v>594771</v>
      </c>
      <c r="L413" s="578">
        <f t="shared" si="7"/>
        <v>7541000</v>
      </c>
      <c r="M413" s="578">
        <f t="shared" si="7"/>
        <v>5257000</v>
      </c>
      <c r="N413" s="578">
        <f t="shared" si="7"/>
        <v>1995821</v>
      </c>
      <c r="O413" s="578">
        <f t="shared" si="7"/>
        <v>31170000</v>
      </c>
      <c r="P413" s="578">
        <f t="shared" si="7"/>
        <v>2480000</v>
      </c>
      <c r="Q413" s="578">
        <f t="shared" si="7"/>
        <v>0</v>
      </c>
      <c r="R413" s="578">
        <f t="shared" si="7"/>
        <v>0</v>
      </c>
    </row>
    <row r="414" spans="1:18" ht="16.5" x14ac:dyDescent="0.25">
      <c r="A414" s="461" t="s">
        <v>2557</v>
      </c>
      <c r="B414" s="579"/>
      <c r="C414" s="580"/>
      <c r="D414" s="580"/>
      <c r="E414" s="580"/>
      <c r="F414" s="580"/>
      <c r="G414" s="580"/>
      <c r="H414" s="580"/>
      <c r="I414" s="580"/>
      <c r="J414" s="580"/>
      <c r="K414" s="580"/>
      <c r="L414" s="580"/>
      <c r="M414" s="580"/>
      <c r="N414" s="581"/>
      <c r="O414" s="580"/>
      <c r="P414" s="580"/>
      <c r="Q414" s="582"/>
      <c r="R414" s="582"/>
    </row>
    <row r="415" spans="1:18" ht="15" x14ac:dyDescent="0.25">
      <c r="A415" s="459">
        <v>45170</v>
      </c>
      <c r="B415" s="572" t="s">
        <v>3224</v>
      </c>
      <c r="C415" s="570"/>
      <c r="D415" s="570"/>
      <c r="E415" s="570"/>
      <c r="F415" s="570">
        <v>4650000</v>
      </c>
      <c r="G415" s="570"/>
      <c r="H415" s="570"/>
      <c r="I415" s="570"/>
      <c r="J415" s="570"/>
      <c r="K415" s="570"/>
      <c r="L415" s="570"/>
      <c r="M415" s="570"/>
      <c r="N415" s="714"/>
      <c r="O415" s="570"/>
      <c r="P415" s="570"/>
      <c r="Q415" s="570"/>
      <c r="R415" s="570"/>
    </row>
    <row r="416" spans="1:18" ht="28.5" x14ac:dyDescent="0.25">
      <c r="A416" s="459">
        <v>45171</v>
      </c>
      <c r="B416" s="611" t="s">
        <v>6308</v>
      </c>
      <c r="C416" s="570"/>
      <c r="D416" s="570"/>
      <c r="E416" s="570"/>
      <c r="F416" s="570"/>
      <c r="G416" s="570"/>
      <c r="H416" s="570"/>
      <c r="I416" s="570"/>
      <c r="J416" s="570"/>
      <c r="K416" s="570"/>
      <c r="L416" s="570"/>
      <c r="M416" s="570"/>
      <c r="N416" s="571"/>
      <c r="O416" s="570"/>
      <c r="P416" s="570">
        <f>40000*7</f>
        <v>280000</v>
      </c>
      <c r="Q416" s="570"/>
      <c r="R416" s="570"/>
    </row>
    <row r="417" spans="1:18" ht="15" x14ac:dyDescent="0.25">
      <c r="A417" s="459"/>
      <c r="B417" s="572" t="s">
        <v>7028</v>
      </c>
      <c r="C417" s="570"/>
      <c r="D417" s="570"/>
      <c r="E417" s="570"/>
      <c r="F417" s="570"/>
      <c r="G417" s="570"/>
      <c r="H417" s="570"/>
      <c r="I417" s="570"/>
      <c r="J417" s="570"/>
      <c r="K417" s="570"/>
      <c r="L417" s="570"/>
      <c r="M417" s="570"/>
      <c r="N417" s="714">
        <v>1995821</v>
      </c>
      <c r="O417" s="570"/>
      <c r="P417" s="570"/>
      <c r="Q417" s="570"/>
      <c r="R417" s="570"/>
    </row>
    <row r="418" spans="1:18" ht="15" x14ac:dyDescent="0.25">
      <c r="A418" s="459">
        <v>45173</v>
      </c>
      <c r="B418" s="572" t="s">
        <v>3210</v>
      </c>
      <c r="C418" s="570">
        <v>57500</v>
      </c>
      <c r="D418" s="570"/>
      <c r="E418" s="570"/>
      <c r="F418" s="570"/>
      <c r="G418" s="570"/>
      <c r="H418" s="570"/>
      <c r="I418" s="570"/>
      <c r="J418" s="570"/>
      <c r="K418" s="570"/>
      <c r="L418" s="570"/>
      <c r="M418" s="570"/>
      <c r="N418" s="571"/>
      <c r="O418" s="570"/>
      <c r="P418" s="570"/>
      <c r="Q418" s="570"/>
      <c r="R418" s="570"/>
    </row>
    <row r="419" spans="1:18" ht="15" x14ac:dyDescent="0.25">
      <c r="A419" s="459"/>
      <c r="B419" s="572" t="s">
        <v>3237</v>
      </c>
      <c r="C419" s="570"/>
      <c r="D419" s="570"/>
      <c r="E419" s="570"/>
      <c r="F419" s="570"/>
      <c r="G419" s="570"/>
      <c r="H419" s="570"/>
      <c r="I419" s="570"/>
      <c r="J419" s="570">
        <v>1002500</v>
      </c>
      <c r="K419" s="570"/>
      <c r="L419" s="570"/>
      <c r="M419" s="570"/>
      <c r="N419" s="571"/>
      <c r="O419" s="570"/>
      <c r="P419" s="570"/>
      <c r="Q419" s="570"/>
      <c r="R419" s="570"/>
    </row>
    <row r="420" spans="1:18" ht="15" x14ac:dyDescent="0.25">
      <c r="A420" s="459">
        <v>45174</v>
      </c>
      <c r="B420" s="572" t="s">
        <v>4140</v>
      </c>
      <c r="C420" s="570"/>
      <c r="D420" s="570"/>
      <c r="E420" s="570"/>
      <c r="F420" s="570"/>
      <c r="G420" s="570"/>
      <c r="H420" s="570"/>
      <c r="I420" s="570"/>
      <c r="J420" s="570"/>
      <c r="K420" s="570">
        <v>52000</v>
      </c>
      <c r="L420" s="570"/>
      <c r="M420" s="570"/>
      <c r="N420" s="571"/>
      <c r="O420" s="570"/>
      <c r="P420" s="570"/>
      <c r="Q420" s="570"/>
      <c r="R420" s="570"/>
    </row>
    <row r="421" spans="1:18" ht="15" x14ac:dyDescent="0.25">
      <c r="A421" s="459"/>
      <c r="B421" s="572" t="s">
        <v>6282</v>
      </c>
      <c r="C421" s="570"/>
      <c r="D421" s="570"/>
      <c r="E421" s="570"/>
      <c r="F421" s="570"/>
      <c r="G421" s="570"/>
      <c r="H421" s="570">
        <v>150000</v>
      </c>
      <c r="I421" s="570"/>
      <c r="J421" s="570"/>
      <c r="K421" s="570"/>
      <c r="L421" s="570"/>
      <c r="M421" s="570"/>
      <c r="N421" s="571"/>
      <c r="O421" s="570"/>
      <c r="P421" s="570"/>
      <c r="Q421" s="570"/>
      <c r="R421" s="570"/>
    </row>
    <row r="422" spans="1:18" ht="15" x14ac:dyDescent="0.25">
      <c r="A422" s="459"/>
      <c r="B422" s="572" t="s">
        <v>6586</v>
      </c>
      <c r="C422" s="570"/>
      <c r="D422" s="570"/>
      <c r="E422" s="570"/>
      <c r="F422" s="570"/>
      <c r="G422" s="570">
        <v>2559000</v>
      </c>
      <c r="H422" s="570"/>
      <c r="I422" s="570"/>
      <c r="J422" s="570"/>
      <c r="K422" s="570"/>
      <c r="L422" s="570"/>
      <c r="M422" s="570"/>
      <c r="N422" s="571"/>
      <c r="O422" s="570"/>
      <c r="P422" s="570"/>
      <c r="Q422" s="570"/>
      <c r="R422" s="570"/>
    </row>
    <row r="423" spans="1:18" ht="15" x14ac:dyDescent="0.25">
      <c r="A423" s="459">
        <v>45175</v>
      </c>
      <c r="B423" s="572" t="s">
        <v>3212</v>
      </c>
      <c r="C423" s="570"/>
      <c r="D423" s="570"/>
      <c r="E423" s="570"/>
      <c r="F423" s="570"/>
      <c r="G423" s="570"/>
      <c r="H423" s="570">
        <v>150000</v>
      </c>
      <c r="I423" s="570"/>
      <c r="J423" s="570"/>
      <c r="K423" s="570"/>
      <c r="L423" s="570"/>
      <c r="M423" s="570"/>
      <c r="N423" s="571"/>
      <c r="O423" s="570"/>
      <c r="P423" s="570"/>
      <c r="Q423" s="570"/>
      <c r="R423" s="570"/>
    </row>
    <row r="424" spans="1:18" ht="15" x14ac:dyDescent="0.25">
      <c r="A424" s="459">
        <v>45176</v>
      </c>
      <c r="B424" s="572" t="s">
        <v>3227</v>
      </c>
      <c r="C424" s="570"/>
      <c r="D424" s="570"/>
      <c r="E424" s="570">
        <v>10000</v>
      </c>
      <c r="F424" s="570"/>
      <c r="G424" s="570"/>
      <c r="H424" s="570"/>
      <c r="I424" s="570"/>
      <c r="J424" s="570"/>
      <c r="K424" s="570"/>
      <c r="L424" s="570"/>
      <c r="M424" s="570"/>
      <c r="N424" s="571"/>
      <c r="O424" s="570"/>
      <c r="P424" s="570"/>
      <c r="Q424" s="570"/>
      <c r="R424" s="570"/>
    </row>
    <row r="425" spans="1:18" ht="15" x14ac:dyDescent="0.25">
      <c r="A425" s="459"/>
      <c r="B425" s="572" t="s">
        <v>3242</v>
      </c>
      <c r="C425" s="570"/>
      <c r="D425" s="570"/>
      <c r="E425" s="570">
        <v>145000</v>
      </c>
      <c r="F425" s="570"/>
      <c r="G425" s="570"/>
      <c r="H425" s="570"/>
      <c r="I425" s="570"/>
      <c r="J425" s="570"/>
      <c r="K425" s="570"/>
      <c r="L425" s="570"/>
      <c r="M425" s="570"/>
      <c r="N425" s="571"/>
      <c r="O425" s="570"/>
      <c r="P425" s="570"/>
      <c r="Q425" s="570"/>
      <c r="R425" s="570"/>
    </row>
    <row r="426" spans="1:18" ht="15" x14ac:dyDescent="0.25">
      <c r="A426" s="459"/>
      <c r="B426" s="572" t="s">
        <v>3232</v>
      </c>
      <c r="C426" s="570"/>
      <c r="D426" s="570"/>
      <c r="E426" s="570">
        <v>62500</v>
      </c>
      <c r="F426" s="570"/>
      <c r="G426" s="570"/>
      <c r="H426" s="570"/>
      <c r="I426" s="570"/>
      <c r="J426" s="570"/>
      <c r="K426" s="570"/>
      <c r="L426" s="570"/>
      <c r="M426" s="570"/>
      <c r="N426" s="571"/>
      <c r="O426" s="570"/>
      <c r="P426" s="570"/>
      <c r="Q426" s="570"/>
      <c r="R426" s="570"/>
    </row>
    <row r="427" spans="1:18" ht="15" x14ac:dyDescent="0.25">
      <c r="A427" s="459"/>
      <c r="B427" s="572" t="s">
        <v>6587</v>
      </c>
      <c r="C427" s="570"/>
      <c r="D427" s="570"/>
      <c r="E427" s="570">
        <v>69000</v>
      </c>
      <c r="F427" s="570"/>
      <c r="G427" s="570"/>
      <c r="H427" s="570"/>
      <c r="I427" s="570"/>
      <c r="J427" s="570"/>
      <c r="K427" s="570"/>
      <c r="L427" s="570"/>
      <c r="M427" s="570"/>
      <c r="N427" s="571"/>
      <c r="O427" s="570"/>
      <c r="P427" s="570"/>
      <c r="Q427" s="570"/>
      <c r="R427" s="570"/>
    </row>
    <row r="428" spans="1:18" ht="15" x14ac:dyDescent="0.25">
      <c r="A428" s="459"/>
      <c r="B428" s="572" t="s">
        <v>3215</v>
      </c>
      <c r="C428" s="570"/>
      <c r="D428" s="570"/>
      <c r="E428" s="570"/>
      <c r="F428" s="570"/>
      <c r="G428" s="570"/>
      <c r="H428" s="570">
        <v>150000</v>
      </c>
      <c r="I428" s="570"/>
      <c r="J428" s="570"/>
      <c r="K428" s="570"/>
      <c r="L428" s="570"/>
      <c r="M428" s="570"/>
      <c r="N428" s="571"/>
      <c r="O428" s="570"/>
      <c r="P428" s="570"/>
      <c r="Q428" s="570"/>
      <c r="R428" s="570"/>
    </row>
    <row r="429" spans="1:18" ht="15" x14ac:dyDescent="0.25">
      <c r="A429" s="459"/>
      <c r="B429" s="572" t="s">
        <v>6588</v>
      </c>
      <c r="C429" s="570"/>
      <c r="D429" s="570"/>
      <c r="E429" s="570"/>
      <c r="F429" s="570"/>
      <c r="G429" s="570">
        <v>101500</v>
      </c>
      <c r="H429" s="570"/>
      <c r="I429" s="570"/>
      <c r="J429" s="570"/>
      <c r="K429" s="570"/>
      <c r="L429" s="570"/>
      <c r="M429" s="570"/>
      <c r="N429" s="571"/>
      <c r="O429" s="570"/>
      <c r="P429" s="570"/>
      <c r="Q429" s="570"/>
      <c r="R429" s="570"/>
    </row>
    <row r="430" spans="1:18" ht="15" x14ac:dyDescent="0.25">
      <c r="A430" s="459">
        <v>45177</v>
      </c>
      <c r="B430" s="610" t="s">
        <v>3207</v>
      </c>
      <c r="C430" s="570"/>
      <c r="D430" s="570"/>
      <c r="E430" s="570"/>
      <c r="F430" s="570"/>
      <c r="G430" s="570"/>
      <c r="H430" s="570"/>
      <c r="I430" s="570"/>
      <c r="J430" s="570"/>
      <c r="K430" s="570">
        <v>85424</v>
      </c>
      <c r="L430" s="570"/>
      <c r="M430" s="570"/>
      <c r="N430" s="571"/>
      <c r="O430" s="570"/>
      <c r="P430" s="570"/>
      <c r="Q430" s="570"/>
      <c r="R430" s="570"/>
    </row>
    <row r="431" spans="1:18" ht="15" x14ac:dyDescent="0.25">
      <c r="A431" s="459"/>
      <c r="B431" s="721" t="s">
        <v>3208</v>
      </c>
      <c r="C431" s="570"/>
      <c r="D431" s="570"/>
      <c r="E431" s="570"/>
      <c r="F431" s="570"/>
      <c r="G431" s="570"/>
      <c r="H431" s="570"/>
      <c r="I431" s="570"/>
      <c r="J431" s="570"/>
      <c r="K431" s="570">
        <v>355200</v>
      </c>
      <c r="L431" s="570"/>
      <c r="M431" s="570"/>
      <c r="N431" s="571"/>
      <c r="O431" s="570"/>
      <c r="P431" s="570"/>
      <c r="Q431" s="570"/>
      <c r="R431" s="570"/>
    </row>
    <row r="432" spans="1:18" ht="15" x14ac:dyDescent="0.25">
      <c r="A432" s="459"/>
      <c r="B432" s="573" t="s">
        <v>3238</v>
      </c>
      <c r="C432" s="570">
        <v>200000</v>
      </c>
      <c r="D432" s="570"/>
      <c r="E432" s="570"/>
      <c r="F432" s="570"/>
      <c r="G432" s="570"/>
      <c r="H432" s="570"/>
      <c r="I432" s="570"/>
      <c r="J432" s="570"/>
      <c r="K432" s="570"/>
      <c r="L432" s="570"/>
      <c r="M432" s="570"/>
      <c r="N432" s="571"/>
      <c r="O432" s="570"/>
      <c r="P432" s="570"/>
      <c r="Q432" s="570"/>
      <c r="R432" s="570"/>
    </row>
    <row r="433" spans="1:18" ht="28.5" x14ac:dyDescent="0.25">
      <c r="A433" s="459">
        <v>45178</v>
      </c>
      <c r="B433" s="610" t="s">
        <v>6310</v>
      </c>
      <c r="C433" s="570"/>
      <c r="D433" s="570"/>
      <c r="E433" s="570"/>
      <c r="F433" s="570"/>
      <c r="G433" s="570"/>
      <c r="H433" s="570"/>
      <c r="I433" s="570"/>
      <c r="J433" s="570"/>
      <c r="K433" s="570"/>
      <c r="L433" s="570"/>
      <c r="M433" s="570"/>
      <c r="N433" s="571"/>
      <c r="O433" s="570">
        <v>6600000</v>
      </c>
      <c r="P433" s="570"/>
      <c r="Q433" s="570"/>
      <c r="R433" s="570"/>
    </row>
    <row r="434" spans="1:18" ht="28.5" x14ac:dyDescent="0.25">
      <c r="A434" s="459"/>
      <c r="B434" s="611" t="s">
        <v>6309</v>
      </c>
      <c r="C434" s="570"/>
      <c r="D434" s="570"/>
      <c r="E434" s="570"/>
      <c r="F434" s="570"/>
      <c r="G434" s="570"/>
      <c r="H434" s="570"/>
      <c r="I434" s="570"/>
      <c r="J434" s="570"/>
      <c r="K434" s="570"/>
      <c r="L434" s="570"/>
      <c r="M434" s="570"/>
      <c r="N434" s="571"/>
      <c r="O434" s="570"/>
      <c r="P434" s="570">
        <f>40000*9</f>
        <v>360000</v>
      </c>
      <c r="Q434" s="570"/>
      <c r="R434" s="570"/>
    </row>
    <row r="435" spans="1:18" ht="15" x14ac:dyDescent="0.25">
      <c r="A435" s="459">
        <v>45180</v>
      </c>
      <c r="B435" s="572" t="s">
        <v>3210</v>
      </c>
      <c r="C435" s="570">
        <v>49000</v>
      </c>
      <c r="D435" s="570"/>
      <c r="E435" s="570"/>
      <c r="F435" s="570"/>
      <c r="G435" s="570"/>
      <c r="H435" s="570"/>
      <c r="I435" s="570"/>
      <c r="J435" s="570"/>
      <c r="K435" s="570"/>
      <c r="L435" s="570"/>
      <c r="M435" s="570"/>
      <c r="N435" s="571"/>
      <c r="O435" s="570"/>
      <c r="P435" s="570"/>
      <c r="Q435" s="570"/>
      <c r="R435" s="570"/>
    </row>
    <row r="436" spans="1:18" ht="15" x14ac:dyDescent="0.25">
      <c r="A436" s="459"/>
      <c r="B436" s="572" t="s">
        <v>3218</v>
      </c>
      <c r="C436" s="570"/>
      <c r="D436" s="570"/>
      <c r="E436" s="570">
        <v>220000</v>
      </c>
      <c r="F436" s="570"/>
      <c r="G436" s="570"/>
      <c r="H436" s="570"/>
      <c r="I436" s="570"/>
      <c r="J436" s="570"/>
      <c r="K436" s="570"/>
      <c r="L436" s="570"/>
      <c r="M436" s="570"/>
      <c r="N436" s="571"/>
      <c r="O436" s="570"/>
      <c r="P436" s="570"/>
      <c r="Q436" s="570"/>
      <c r="R436" s="570"/>
    </row>
    <row r="437" spans="1:18" ht="15" x14ac:dyDescent="0.25">
      <c r="A437" s="459">
        <v>45182</v>
      </c>
      <c r="B437" s="572" t="s">
        <v>6589</v>
      </c>
      <c r="C437" s="570"/>
      <c r="D437" s="570"/>
      <c r="E437" s="570"/>
      <c r="F437" s="570"/>
      <c r="G437" s="570">
        <v>2608000</v>
      </c>
      <c r="H437" s="570"/>
      <c r="I437" s="570"/>
      <c r="J437" s="570"/>
      <c r="K437" s="570"/>
      <c r="L437" s="570"/>
      <c r="M437" s="570"/>
      <c r="N437" s="571"/>
      <c r="O437" s="570"/>
      <c r="P437" s="570"/>
      <c r="Q437" s="570"/>
      <c r="R437" s="570"/>
    </row>
    <row r="438" spans="1:18" ht="15" x14ac:dyDescent="0.25">
      <c r="A438" s="459">
        <v>45184</v>
      </c>
      <c r="B438" s="573" t="s">
        <v>4139</v>
      </c>
      <c r="C438" s="570"/>
      <c r="D438" s="570"/>
      <c r="E438" s="570"/>
      <c r="F438" s="570"/>
      <c r="G438" s="570"/>
      <c r="H438" s="570">
        <v>150000</v>
      </c>
      <c r="I438" s="570"/>
      <c r="J438" s="570"/>
      <c r="K438" s="570"/>
      <c r="L438" s="570"/>
      <c r="M438" s="570"/>
      <c r="N438" s="571"/>
      <c r="O438" s="570"/>
      <c r="P438" s="570"/>
      <c r="Q438" s="570"/>
      <c r="R438" s="570"/>
    </row>
    <row r="439" spans="1:18" ht="28.5" x14ac:dyDescent="0.25">
      <c r="A439" s="459">
        <v>45185</v>
      </c>
      <c r="B439" s="611" t="s">
        <v>6311</v>
      </c>
      <c r="C439" s="570"/>
      <c r="D439" s="570"/>
      <c r="E439" s="570"/>
      <c r="F439" s="570"/>
      <c r="G439" s="570"/>
      <c r="H439" s="570"/>
      <c r="I439" s="570"/>
      <c r="J439" s="570"/>
      <c r="K439" s="570"/>
      <c r="L439" s="570"/>
      <c r="M439" s="570"/>
      <c r="N439" s="571"/>
      <c r="O439" s="570"/>
      <c r="P439" s="570">
        <f>40000*7</f>
        <v>280000</v>
      </c>
      <c r="Q439" s="570"/>
      <c r="R439" s="570"/>
    </row>
    <row r="440" spans="1:18" ht="15" x14ac:dyDescent="0.25">
      <c r="A440" s="459"/>
      <c r="B440" s="572" t="s">
        <v>6590</v>
      </c>
      <c r="C440" s="570"/>
      <c r="D440" s="570"/>
      <c r="E440" s="570"/>
      <c r="F440" s="570"/>
      <c r="G440" s="570"/>
      <c r="H440" s="570"/>
      <c r="I440" s="570"/>
      <c r="J440" s="570"/>
      <c r="K440" s="570"/>
      <c r="L440" s="570"/>
      <c r="M440" s="570"/>
      <c r="N440" s="571"/>
      <c r="O440" s="570"/>
      <c r="P440" s="570"/>
      <c r="Q440" s="570"/>
      <c r="R440" s="570">
        <f>70000+60000</f>
        <v>130000</v>
      </c>
    </row>
    <row r="441" spans="1:18" ht="15" x14ac:dyDescent="0.25">
      <c r="A441" s="459">
        <v>45187</v>
      </c>
      <c r="B441" s="572" t="s">
        <v>3210</v>
      </c>
      <c r="C441" s="570">
        <v>57500</v>
      </c>
      <c r="D441" s="570"/>
      <c r="E441" s="570"/>
      <c r="F441" s="570"/>
      <c r="G441" s="570"/>
      <c r="H441" s="570"/>
      <c r="I441" s="570"/>
      <c r="J441" s="570"/>
      <c r="K441" s="570"/>
      <c r="L441" s="570"/>
      <c r="M441" s="570"/>
      <c r="N441" s="571"/>
      <c r="O441" s="570"/>
      <c r="P441" s="570"/>
      <c r="Q441" s="570"/>
      <c r="R441" s="570"/>
    </row>
    <row r="442" spans="1:18" ht="15" x14ac:dyDescent="0.25">
      <c r="A442" s="459"/>
      <c r="B442" s="572" t="s">
        <v>3213</v>
      </c>
      <c r="C442" s="570"/>
      <c r="D442" s="570"/>
      <c r="E442" s="570"/>
      <c r="F442" s="570">
        <v>599000</v>
      </c>
      <c r="G442" s="570"/>
      <c r="H442" s="570"/>
      <c r="I442" s="570"/>
      <c r="J442" s="570"/>
      <c r="K442" s="570"/>
      <c r="L442" s="570"/>
      <c r="M442" s="570"/>
      <c r="N442" s="571"/>
      <c r="O442" s="570"/>
      <c r="P442" s="570"/>
      <c r="Q442" s="570"/>
      <c r="R442" s="570"/>
    </row>
    <row r="443" spans="1:18" ht="15" x14ac:dyDescent="0.25">
      <c r="A443" s="459"/>
      <c r="B443" s="572" t="s">
        <v>6591</v>
      </c>
      <c r="C443" s="570"/>
      <c r="D443" s="570"/>
      <c r="E443" s="570">
        <f>14000+127000</f>
        <v>141000</v>
      </c>
      <c r="F443" s="570"/>
      <c r="G443" s="570"/>
      <c r="H443" s="570"/>
      <c r="I443" s="570"/>
      <c r="J443" s="570"/>
      <c r="K443" s="570"/>
      <c r="L443" s="570"/>
      <c r="M443" s="570"/>
      <c r="N443" s="571"/>
      <c r="O443" s="570"/>
      <c r="P443" s="570"/>
      <c r="Q443" s="570"/>
      <c r="R443" s="570"/>
    </row>
    <row r="444" spans="1:18" ht="15" x14ac:dyDescent="0.25">
      <c r="A444" s="459"/>
      <c r="B444" s="572" t="s">
        <v>3225</v>
      </c>
      <c r="C444" s="570"/>
      <c r="D444" s="570"/>
      <c r="E444" s="570"/>
      <c r="F444" s="570"/>
      <c r="G444" s="570">
        <v>240000</v>
      </c>
      <c r="H444" s="570"/>
      <c r="I444" s="570"/>
      <c r="J444" s="570"/>
      <c r="K444" s="570"/>
      <c r="L444" s="570"/>
      <c r="M444" s="570"/>
      <c r="N444" s="571"/>
      <c r="O444" s="570"/>
      <c r="P444" s="570"/>
      <c r="Q444" s="570"/>
      <c r="R444" s="570"/>
    </row>
    <row r="445" spans="1:18" ht="15" x14ac:dyDescent="0.25">
      <c r="A445" s="459">
        <v>45188</v>
      </c>
      <c r="B445" s="572" t="s">
        <v>6592</v>
      </c>
      <c r="C445" s="570"/>
      <c r="D445" s="570"/>
      <c r="E445" s="570"/>
      <c r="F445" s="570"/>
      <c r="G445" s="570"/>
      <c r="H445" s="570"/>
      <c r="I445" s="570">
        <f>1840000+450000</f>
        <v>2290000</v>
      </c>
      <c r="J445" s="570"/>
      <c r="K445" s="570"/>
      <c r="L445" s="570"/>
      <c r="M445" s="570"/>
      <c r="N445" s="571"/>
      <c r="O445" s="570"/>
      <c r="P445" s="570"/>
      <c r="Q445" s="570"/>
      <c r="R445" s="570"/>
    </row>
    <row r="446" spans="1:18" ht="15" x14ac:dyDescent="0.25">
      <c r="A446" s="459">
        <v>45189</v>
      </c>
      <c r="B446" s="572" t="s">
        <v>3218</v>
      </c>
      <c r="C446" s="570"/>
      <c r="D446" s="570"/>
      <c r="E446" s="570">
        <v>220000</v>
      </c>
      <c r="F446" s="570"/>
      <c r="G446" s="570"/>
      <c r="H446" s="570"/>
      <c r="I446" s="570"/>
      <c r="J446" s="570"/>
      <c r="K446" s="586"/>
      <c r="L446" s="586"/>
      <c r="M446" s="586"/>
      <c r="N446" s="571"/>
      <c r="O446" s="586"/>
      <c r="P446" s="586"/>
      <c r="Q446" s="586"/>
      <c r="R446" s="586"/>
    </row>
    <row r="447" spans="1:18" ht="15" x14ac:dyDescent="0.25">
      <c r="A447" s="459">
        <v>45190</v>
      </c>
      <c r="B447" s="572" t="s">
        <v>6593</v>
      </c>
      <c r="C447" s="570"/>
      <c r="D447" s="570"/>
      <c r="E447" s="570"/>
      <c r="F447" s="570"/>
      <c r="G447" s="570">
        <v>6000</v>
      </c>
      <c r="H447" s="570"/>
      <c r="I447" s="570"/>
      <c r="J447" s="570"/>
      <c r="K447" s="570"/>
      <c r="L447" s="570"/>
      <c r="M447" s="570"/>
      <c r="N447" s="571"/>
      <c r="O447" s="570"/>
      <c r="P447" s="570"/>
      <c r="Q447" s="570"/>
      <c r="R447" s="570"/>
    </row>
    <row r="448" spans="1:18" ht="15" x14ac:dyDescent="0.25">
      <c r="A448" s="459"/>
      <c r="B448" s="572" t="s">
        <v>6594</v>
      </c>
      <c r="C448" s="570"/>
      <c r="D448" s="570">
        <v>210000</v>
      </c>
      <c r="E448" s="570"/>
      <c r="F448" s="570"/>
      <c r="G448" s="570"/>
      <c r="H448" s="570"/>
      <c r="I448" s="570"/>
      <c r="J448" s="570"/>
      <c r="K448" s="570"/>
      <c r="L448" s="570"/>
      <c r="M448" s="570"/>
      <c r="N448" s="571"/>
      <c r="O448" s="789"/>
      <c r="P448" s="570"/>
      <c r="Q448" s="570"/>
      <c r="R448" s="570"/>
    </row>
    <row r="449" spans="1:18" ht="15" x14ac:dyDescent="0.25">
      <c r="A449" s="459">
        <v>45191</v>
      </c>
      <c r="B449" s="572" t="s">
        <v>6595</v>
      </c>
      <c r="C449" s="570"/>
      <c r="D449" s="570"/>
      <c r="E449" s="570"/>
      <c r="F449" s="570"/>
      <c r="G449" s="570"/>
      <c r="H449" s="570"/>
      <c r="I449" s="570">
        <f>4481000+250000</f>
        <v>4731000</v>
      </c>
      <c r="J449" s="570"/>
      <c r="K449" s="570"/>
      <c r="L449" s="570"/>
      <c r="M449" s="570"/>
      <c r="N449" s="571"/>
      <c r="O449" s="183"/>
      <c r="P449" s="570"/>
      <c r="Q449" s="570"/>
      <c r="R449" s="570"/>
    </row>
    <row r="450" spans="1:18" ht="15" x14ac:dyDescent="0.25">
      <c r="A450" s="459"/>
      <c r="B450" s="572" t="s">
        <v>6596</v>
      </c>
      <c r="C450" s="570"/>
      <c r="D450" s="570"/>
      <c r="E450" s="570"/>
      <c r="F450" s="570"/>
      <c r="G450" s="570"/>
      <c r="H450" s="570"/>
      <c r="I450" s="570"/>
      <c r="J450" s="570"/>
      <c r="K450" s="570"/>
      <c r="L450" s="570"/>
      <c r="M450" s="570"/>
      <c r="N450" s="571"/>
      <c r="O450" s="183"/>
      <c r="P450" s="570"/>
      <c r="Q450" s="570"/>
      <c r="R450" s="570">
        <v>50000</v>
      </c>
    </row>
    <row r="451" spans="1:18" ht="15" x14ac:dyDescent="0.25">
      <c r="A451" s="459"/>
      <c r="B451" s="572" t="s">
        <v>4139</v>
      </c>
      <c r="C451" s="570"/>
      <c r="D451" s="570"/>
      <c r="E451" s="570"/>
      <c r="F451" s="570"/>
      <c r="G451" s="570"/>
      <c r="H451" s="570">
        <v>200000</v>
      </c>
      <c r="I451" s="570"/>
      <c r="J451" s="570"/>
      <c r="K451" s="570"/>
      <c r="L451" s="570"/>
      <c r="M451" s="570"/>
      <c r="N451" s="571"/>
      <c r="O451" s="183"/>
      <c r="P451" s="570"/>
      <c r="Q451" s="570"/>
      <c r="R451" s="570"/>
    </row>
    <row r="452" spans="1:18" ht="28.5" x14ac:dyDescent="0.25">
      <c r="A452" s="459">
        <v>45192</v>
      </c>
      <c r="B452" s="610" t="s">
        <v>6312</v>
      </c>
      <c r="C452" s="570"/>
      <c r="D452" s="570"/>
      <c r="E452" s="570"/>
      <c r="F452" s="570"/>
      <c r="G452" s="570"/>
      <c r="H452" s="570"/>
      <c r="I452" s="570"/>
      <c r="J452" s="570"/>
      <c r="K452" s="570"/>
      <c r="L452" s="570"/>
      <c r="M452" s="570"/>
      <c r="N452" s="571"/>
      <c r="O452" s="570">
        <v>6380000</v>
      </c>
      <c r="P452" s="570"/>
      <c r="Q452" s="570"/>
      <c r="R452" s="570"/>
    </row>
    <row r="453" spans="1:18" ht="28.5" x14ac:dyDescent="0.25">
      <c r="A453" s="459"/>
      <c r="B453" s="611" t="s">
        <v>6313</v>
      </c>
      <c r="C453" s="570"/>
      <c r="D453" s="570"/>
      <c r="E453" s="570"/>
      <c r="F453" s="570"/>
      <c r="G453" s="570"/>
      <c r="H453" s="570"/>
      <c r="I453" s="570"/>
      <c r="J453" s="570"/>
      <c r="K453" s="570"/>
      <c r="L453" s="570"/>
      <c r="M453" s="570"/>
      <c r="N453" s="571"/>
      <c r="O453" s="570"/>
      <c r="P453" s="570">
        <f>40000*8</f>
        <v>320000</v>
      </c>
      <c r="Q453" s="570"/>
      <c r="R453" s="570"/>
    </row>
    <row r="454" spans="1:18" ht="15" x14ac:dyDescent="0.25">
      <c r="A454" s="459">
        <v>45194</v>
      </c>
      <c r="B454" s="572" t="s">
        <v>3210</v>
      </c>
      <c r="C454" s="570">
        <v>57500</v>
      </c>
      <c r="D454" s="570"/>
      <c r="E454" s="570"/>
      <c r="F454" s="570"/>
      <c r="G454" s="570"/>
      <c r="H454" s="570"/>
      <c r="I454" s="570"/>
      <c r="J454" s="570"/>
      <c r="K454" s="570"/>
      <c r="L454" s="570"/>
      <c r="M454" s="570"/>
      <c r="N454" s="571"/>
      <c r="O454" s="570"/>
      <c r="P454" s="570"/>
      <c r="Q454" s="570"/>
      <c r="R454" s="570"/>
    </row>
    <row r="455" spans="1:18" ht="15" x14ac:dyDescent="0.25">
      <c r="A455" s="459"/>
      <c r="B455" s="572" t="s">
        <v>6597</v>
      </c>
      <c r="C455" s="570"/>
      <c r="D455" s="570"/>
      <c r="E455" s="570"/>
      <c r="F455" s="570"/>
      <c r="G455" s="570"/>
      <c r="H455" s="570"/>
      <c r="I455" s="570">
        <v>325000</v>
      </c>
      <c r="J455" s="570"/>
      <c r="K455" s="570"/>
      <c r="L455" s="570"/>
      <c r="M455" s="570"/>
      <c r="N455" s="571"/>
      <c r="O455" s="570"/>
      <c r="P455" s="570"/>
      <c r="Q455" s="570"/>
      <c r="R455" s="570"/>
    </row>
    <row r="456" spans="1:18" ht="15" x14ac:dyDescent="0.25">
      <c r="A456" s="459">
        <v>45195</v>
      </c>
      <c r="B456" s="572" t="s">
        <v>3227</v>
      </c>
      <c r="C456" s="570"/>
      <c r="D456" s="570"/>
      <c r="E456" s="570">
        <v>40000</v>
      </c>
      <c r="F456" s="570"/>
      <c r="G456" s="570"/>
      <c r="H456" s="570"/>
      <c r="I456" s="570"/>
      <c r="J456" s="570"/>
      <c r="K456" s="570"/>
      <c r="L456" s="570"/>
      <c r="M456" s="570"/>
      <c r="N456" s="571"/>
      <c r="O456" s="570"/>
      <c r="P456" s="570"/>
      <c r="Q456" s="570"/>
      <c r="R456" s="570"/>
    </row>
    <row r="457" spans="1:18" ht="15" x14ac:dyDescent="0.25">
      <c r="A457" s="459"/>
      <c r="B457" s="572" t="s">
        <v>3224</v>
      </c>
      <c r="C457" s="570"/>
      <c r="D457" s="570"/>
      <c r="E457" s="570"/>
      <c r="F457" s="570">
        <v>4000000</v>
      </c>
      <c r="G457" s="570"/>
      <c r="H457" s="570"/>
      <c r="I457" s="570"/>
      <c r="J457" s="570"/>
      <c r="K457" s="570"/>
      <c r="L457" s="570"/>
      <c r="M457" s="570"/>
      <c r="N457" s="571"/>
      <c r="O457" s="570"/>
      <c r="P457" s="570"/>
      <c r="Q457" s="570"/>
      <c r="R457" s="570"/>
    </row>
    <row r="458" spans="1:18" ht="15" x14ac:dyDescent="0.25">
      <c r="A458" s="459">
        <v>45198</v>
      </c>
      <c r="B458" s="572" t="s">
        <v>6598</v>
      </c>
      <c r="C458" s="570"/>
      <c r="D458" s="570"/>
      <c r="E458" s="570"/>
      <c r="F458" s="570"/>
      <c r="G458" s="570"/>
      <c r="H458" s="570">
        <v>66500</v>
      </c>
      <c r="I458" s="570"/>
      <c r="J458" s="570"/>
      <c r="K458" s="570"/>
      <c r="L458" s="570"/>
      <c r="M458" s="570"/>
      <c r="N458" s="571"/>
      <c r="O458" s="570"/>
      <c r="P458" s="570"/>
      <c r="Q458" s="570"/>
      <c r="R458" s="570"/>
    </row>
    <row r="459" spans="1:18" ht="15" x14ac:dyDescent="0.25">
      <c r="A459" s="459"/>
      <c r="B459" s="572" t="s">
        <v>7050</v>
      </c>
      <c r="C459" s="570"/>
      <c r="D459" s="570"/>
      <c r="E459" s="570"/>
      <c r="F459" s="570"/>
      <c r="G459" s="570"/>
      <c r="H459" s="570">
        <v>150000</v>
      </c>
      <c r="I459" s="570"/>
      <c r="J459" s="570"/>
      <c r="K459" s="570"/>
      <c r="L459" s="570"/>
      <c r="M459" s="570"/>
      <c r="N459" s="571"/>
      <c r="O459" s="570"/>
      <c r="P459" s="570"/>
      <c r="Q459" s="570"/>
      <c r="R459" s="570"/>
    </row>
    <row r="460" spans="1:18" ht="15" x14ac:dyDescent="0.25">
      <c r="A460" s="459"/>
      <c r="B460" s="720" t="s">
        <v>6599</v>
      </c>
      <c r="C460" s="570"/>
      <c r="D460" s="570"/>
      <c r="E460" s="570"/>
      <c r="F460" s="570"/>
      <c r="G460" s="570"/>
      <c r="H460" s="570"/>
      <c r="I460" s="570"/>
      <c r="J460" s="570"/>
      <c r="K460" s="570"/>
      <c r="L460" s="570">
        <f>(1252000+417500+686000)/2</f>
        <v>1177750</v>
      </c>
      <c r="M460" s="570"/>
      <c r="N460" s="571"/>
      <c r="O460" s="570"/>
      <c r="P460" s="570"/>
      <c r="Q460" s="570"/>
      <c r="R460" s="570"/>
    </row>
    <row r="461" spans="1:18" ht="15" x14ac:dyDescent="0.25">
      <c r="A461" s="459"/>
      <c r="B461" s="720" t="s">
        <v>6600</v>
      </c>
      <c r="C461" s="570"/>
      <c r="D461" s="570"/>
      <c r="E461" s="570"/>
      <c r="F461" s="570"/>
      <c r="G461" s="570"/>
      <c r="H461" s="570"/>
      <c r="I461" s="570"/>
      <c r="J461" s="570"/>
      <c r="K461" s="570"/>
      <c r="L461" s="570">
        <f>(370000+948500+1033500)/2</f>
        <v>1176000</v>
      </c>
      <c r="M461" s="570"/>
      <c r="N461" s="571"/>
      <c r="O461" s="570"/>
      <c r="P461" s="570"/>
      <c r="Q461" s="570"/>
      <c r="R461" s="570"/>
    </row>
    <row r="462" spans="1:18" ht="15" x14ac:dyDescent="0.25">
      <c r="A462" s="459"/>
      <c r="B462" s="720" t="s">
        <v>6601</v>
      </c>
      <c r="C462" s="570"/>
      <c r="D462" s="570"/>
      <c r="E462" s="570"/>
      <c r="F462" s="570"/>
      <c r="G462" s="570"/>
      <c r="H462" s="570"/>
      <c r="I462" s="570"/>
      <c r="J462" s="570"/>
      <c r="K462" s="570"/>
      <c r="L462" s="570">
        <f>(429000+314000+604000+972000)/2</f>
        <v>1159500</v>
      </c>
      <c r="M462" s="570"/>
      <c r="N462" s="571"/>
      <c r="O462" s="570"/>
      <c r="P462" s="570"/>
      <c r="Q462" s="570"/>
      <c r="R462" s="570"/>
    </row>
    <row r="463" spans="1:18" ht="15" x14ac:dyDescent="0.25">
      <c r="A463" s="459"/>
      <c r="B463" s="720" t="s">
        <v>6602</v>
      </c>
      <c r="C463" s="570"/>
      <c r="D463" s="570"/>
      <c r="E463" s="570"/>
      <c r="F463" s="570"/>
      <c r="G463" s="570"/>
      <c r="H463" s="570"/>
      <c r="I463" s="570"/>
      <c r="J463" s="570"/>
      <c r="K463" s="570"/>
      <c r="L463" s="570">
        <f>(500000+496000)/2</f>
        <v>498000</v>
      </c>
      <c r="M463" s="570"/>
      <c r="N463" s="571"/>
      <c r="O463" s="570"/>
      <c r="P463" s="570"/>
      <c r="Q463" s="570"/>
      <c r="R463" s="570"/>
    </row>
    <row r="464" spans="1:18" ht="15" x14ac:dyDescent="0.25">
      <c r="A464" s="459"/>
      <c r="B464" s="720" t="s">
        <v>6603</v>
      </c>
      <c r="C464" s="570"/>
      <c r="D464" s="570"/>
      <c r="E464" s="570"/>
      <c r="F464" s="570"/>
      <c r="G464" s="570"/>
      <c r="H464" s="570"/>
      <c r="I464" s="570"/>
      <c r="J464" s="570"/>
      <c r="K464" s="570"/>
      <c r="L464" s="570">
        <f>(399500+334000+212500+1344000)/2</f>
        <v>1145000</v>
      </c>
      <c r="M464" s="570"/>
      <c r="N464" s="571"/>
      <c r="O464" s="570"/>
      <c r="P464" s="570"/>
      <c r="Q464" s="570"/>
      <c r="R464" s="570"/>
    </row>
    <row r="465" spans="1:18" ht="15" x14ac:dyDescent="0.25">
      <c r="A465" s="459"/>
      <c r="B465" s="720" t="s">
        <v>6604</v>
      </c>
      <c r="C465" s="570"/>
      <c r="D465" s="570"/>
      <c r="E465" s="570"/>
      <c r="F465" s="570"/>
      <c r="G465" s="570"/>
      <c r="H465" s="570"/>
      <c r="I465" s="570"/>
      <c r="J465" s="570"/>
      <c r="K465" s="570"/>
      <c r="L465" s="570">
        <f>3746500/2</f>
        <v>1873250</v>
      </c>
      <c r="M465" s="570"/>
      <c r="N465" s="571"/>
      <c r="O465" s="570"/>
      <c r="P465" s="570"/>
      <c r="Q465" s="570"/>
      <c r="R465" s="570"/>
    </row>
    <row r="466" spans="1:18" ht="15" x14ac:dyDescent="0.25">
      <c r="A466" s="459"/>
      <c r="B466" s="720" t="s">
        <v>6605</v>
      </c>
      <c r="C466" s="570"/>
      <c r="D466" s="570"/>
      <c r="E466" s="570"/>
      <c r="F466" s="570"/>
      <c r="G466" s="570"/>
      <c r="H466" s="570"/>
      <c r="I466" s="570"/>
      <c r="J466" s="570"/>
      <c r="K466" s="570"/>
      <c r="L466" s="570">
        <f>2265000/2</f>
        <v>1132500</v>
      </c>
      <c r="M466" s="570"/>
      <c r="N466" s="571"/>
      <c r="O466" s="570"/>
      <c r="P466" s="570"/>
      <c r="Q466" s="570"/>
      <c r="R466" s="570"/>
    </row>
    <row r="467" spans="1:18" ht="15" x14ac:dyDescent="0.25">
      <c r="A467" s="459"/>
      <c r="B467" s="720" t="s">
        <v>6606</v>
      </c>
      <c r="C467" s="570"/>
      <c r="D467" s="570"/>
      <c r="E467" s="570"/>
      <c r="F467" s="570"/>
      <c r="G467" s="570"/>
      <c r="H467" s="570"/>
      <c r="I467" s="570"/>
      <c r="J467" s="570"/>
      <c r="K467" s="570"/>
      <c r="L467" s="570">
        <f>2224500/2</f>
        <v>1112250</v>
      </c>
      <c r="M467" s="570"/>
      <c r="N467" s="571"/>
      <c r="O467" s="570"/>
      <c r="P467" s="570"/>
      <c r="Q467" s="570"/>
      <c r="R467" s="570"/>
    </row>
    <row r="468" spans="1:18" ht="15" x14ac:dyDescent="0.25">
      <c r="A468" s="459"/>
      <c r="B468" s="720" t="s">
        <v>6607</v>
      </c>
      <c r="C468" s="570"/>
      <c r="D468" s="570"/>
      <c r="E468" s="570"/>
      <c r="F468" s="570"/>
      <c r="G468" s="570"/>
      <c r="H468" s="570"/>
      <c r="I468" s="570"/>
      <c r="J468" s="570"/>
      <c r="K468" s="570"/>
      <c r="L468" s="570">
        <f>2125000/2</f>
        <v>1062500</v>
      </c>
      <c r="M468" s="570"/>
      <c r="N468" s="571"/>
      <c r="O468" s="570"/>
      <c r="P468" s="570"/>
      <c r="Q468" s="570"/>
      <c r="R468" s="570"/>
    </row>
    <row r="469" spans="1:18" ht="15" x14ac:dyDescent="0.25">
      <c r="A469" s="459"/>
      <c r="B469" s="720" t="s">
        <v>6608</v>
      </c>
      <c r="C469" s="570"/>
      <c r="D469" s="570"/>
      <c r="E469" s="570"/>
      <c r="F469" s="570"/>
      <c r="G469" s="570"/>
      <c r="H469" s="570"/>
      <c r="I469" s="570"/>
      <c r="J469" s="570"/>
      <c r="K469" s="570"/>
      <c r="L469" s="570">
        <f>2302000/2</f>
        <v>1151000</v>
      </c>
      <c r="M469" s="570"/>
      <c r="N469" s="571"/>
      <c r="O469" s="570"/>
      <c r="P469" s="570"/>
      <c r="Q469" s="570"/>
      <c r="R469" s="570"/>
    </row>
    <row r="470" spans="1:18" ht="15" x14ac:dyDescent="0.25">
      <c r="A470" s="459"/>
      <c r="B470" s="720" t="s">
        <v>6609</v>
      </c>
      <c r="C470" s="570"/>
      <c r="D470" s="570"/>
      <c r="E470" s="570"/>
      <c r="F470" s="570"/>
      <c r="G470" s="570"/>
      <c r="H470" s="570"/>
      <c r="I470" s="570"/>
      <c r="J470" s="570"/>
      <c r="K470" s="570"/>
      <c r="L470" s="570">
        <f>3808000/2</f>
        <v>1904000</v>
      </c>
      <c r="M470" s="570"/>
      <c r="N470" s="571"/>
      <c r="O470" s="570"/>
      <c r="P470" s="570"/>
      <c r="Q470" s="570"/>
      <c r="R470" s="570"/>
    </row>
    <row r="471" spans="1:18" ht="15" x14ac:dyDescent="0.25">
      <c r="A471" s="459"/>
      <c r="B471" s="720" t="s">
        <v>6610</v>
      </c>
      <c r="C471" s="570"/>
      <c r="D471" s="570"/>
      <c r="E471" s="570"/>
      <c r="F471" s="570"/>
      <c r="G471" s="570"/>
      <c r="H471" s="570"/>
      <c r="I471" s="570"/>
      <c r="J471" s="570"/>
      <c r="K471" s="570"/>
      <c r="L471" s="570">
        <f>3075000/2</f>
        <v>1537500</v>
      </c>
      <c r="M471" s="570"/>
      <c r="N471" s="571"/>
      <c r="O471" s="570"/>
      <c r="P471" s="570"/>
      <c r="Q471" s="570"/>
      <c r="R471" s="570"/>
    </row>
    <row r="472" spans="1:18" ht="15" x14ac:dyDescent="0.25">
      <c r="A472" s="459"/>
      <c r="B472" s="720" t="s">
        <v>6611</v>
      </c>
      <c r="C472" s="570"/>
      <c r="D472" s="570"/>
      <c r="E472" s="570"/>
      <c r="F472" s="570"/>
      <c r="G472" s="570"/>
      <c r="H472" s="570"/>
      <c r="I472" s="570"/>
      <c r="J472" s="570"/>
      <c r="K472" s="570"/>
      <c r="L472" s="570">
        <f>1887500/2</f>
        <v>943750</v>
      </c>
      <c r="M472" s="570"/>
      <c r="N472" s="571"/>
      <c r="O472" s="570"/>
      <c r="P472" s="570"/>
      <c r="Q472" s="570"/>
      <c r="R472" s="570"/>
    </row>
    <row r="473" spans="1:18" ht="15" x14ac:dyDescent="0.25">
      <c r="A473" s="459">
        <v>45199</v>
      </c>
      <c r="B473" s="610" t="s">
        <v>2625</v>
      </c>
      <c r="C473" s="570"/>
      <c r="D473" s="570"/>
      <c r="E473" s="570"/>
      <c r="F473" s="570"/>
      <c r="G473" s="570"/>
      <c r="H473" s="570"/>
      <c r="I473" s="570"/>
      <c r="J473" s="570"/>
      <c r="K473" s="570"/>
      <c r="L473" s="570"/>
      <c r="M473" s="570"/>
      <c r="N473" s="571"/>
      <c r="O473" s="570">
        <v>19400000</v>
      </c>
      <c r="P473" s="570"/>
      <c r="Q473" s="570"/>
      <c r="R473" s="570"/>
    </row>
    <row r="474" spans="1:18" ht="15" x14ac:dyDescent="0.25">
      <c r="A474" s="459"/>
      <c r="B474" s="610" t="s">
        <v>2626</v>
      </c>
      <c r="C474" s="570"/>
      <c r="D474" s="570"/>
      <c r="E474" s="570"/>
      <c r="F474" s="570"/>
      <c r="G474" s="570"/>
      <c r="H474" s="570"/>
      <c r="I474" s="570"/>
      <c r="J474" s="570"/>
      <c r="K474" s="570"/>
      <c r="L474" s="570"/>
      <c r="M474" s="570">
        <v>5021500</v>
      </c>
      <c r="N474" s="571"/>
      <c r="O474" s="570"/>
      <c r="P474" s="570"/>
      <c r="Q474" s="570"/>
      <c r="R474" s="570"/>
    </row>
    <row r="475" spans="1:18" ht="15" x14ac:dyDescent="0.25">
      <c r="A475" s="459"/>
      <c r="B475" s="610" t="s">
        <v>2627</v>
      </c>
      <c r="C475" s="570"/>
      <c r="D475" s="570"/>
      <c r="E475" s="570"/>
      <c r="F475" s="570"/>
      <c r="G475" s="570"/>
      <c r="H475" s="570"/>
      <c r="I475" s="570"/>
      <c r="J475" s="570"/>
      <c r="K475" s="570"/>
      <c r="L475" s="570"/>
      <c r="M475" s="570"/>
      <c r="N475" s="571"/>
      <c r="O475" s="570"/>
      <c r="P475" s="570">
        <v>1000000</v>
      </c>
      <c r="Q475" s="570"/>
      <c r="R475" s="570"/>
    </row>
    <row r="476" spans="1:18" ht="28.5" x14ac:dyDescent="0.25">
      <c r="A476" s="535"/>
      <c r="B476" s="611" t="s">
        <v>6314</v>
      </c>
      <c r="C476" s="570"/>
      <c r="D476" s="570"/>
      <c r="E476" s="570"/>
      <c r="F476" s="570"/>
      <c r="G476" s="570"/>
      <c r="H476" s="570"/>
      <c r="I476" s="570"/>
      <c r="J476" s="570"/>
      <c r="K476" s="570"/>
      <c r="L476" s="570"/>
      <c r="M476" s="570"/>
      <c r="N476" s="571"/>
      <c r="O476" s="570"/>
      <c r="P476" s="570">
        <f>40000*10</f>
        <v>400000</v>
      </c>
      <c r="Q476" s="570"/>
      <c r="R476" s="570"/>
    </row>
    <row r="477" spans="1:18" ht="16.5" x14ac:dyDescent="0.25">
      <c r="A477" s="462"/>
      <c r="B477" s="577" t="s">
        <v>38</v>
      </c>
      <c r="C477" s="578">
        <f>SUM(C415:C476)</f>
        <v>421500</v>
      </c>
      <c r="D477" s="578">
        <f t="shared" ref="D477:R477" si="8">SUM(D415:D476)</f>
        <v>210000</v>
      </c>
      <c r="E477" s="578">
        <f t="shared" si="8"/>
        <v>907500</v>
      </c>
      <c r="F477" s="578">
        <f t="shared" si="8"/>
        <v>9249000</v>
      </c>
      <c r="G477" s="578">
        <f t="shared" si="8"/>
        <v>5514500</v>
      </c>
      <c r="H477" s="578">
        <f t="shared" si="8"/>
        <v>1016500</v>
      </c>
      <c r="I477" s="578">
        <f t="shared" si="8"/>
        <v>7346000</v>
      </c>
      <c r="J477" s="578">
        <f t="shared" si="8"/>
        <v>1002500</v>
      </c>
      <c r="K477" s="578">
        <f t="shared" si="8"/>
        <v>492624</v>
      </c>
      <c r="L477" s="578">
        <f t="shared" si="8"/>
        <v>15873000</v>
      </c>
      <c r="M477" s="578">
        <f t="shared" si="8"/>
        <v>5021500</v>
      </c>
      <c r="N477" s="578">
        <f t="shared" si="8"/>
        <v>1995821</v>
      </c>
      <c r="O477" s="578">
        <f t="shared" si="8"/>
        <v>32380000</v>
      </c>
      <c r="P477" s="578">
        <f t="shared" si="8"/>
        <v>2640000</v>
      </c>
      <c r="Q477" s="578">
        <f t="shared" si="8"/>
        <v>0</v>
      </c>
      <c r="R477" s="578">
        <f t="shared" si="8"/>
        <v>180000</v>
      </c>
    </row>
    <row r="478" spans="1:18" ht="16.5" x14ac:dyDescent="0.25">
      <c r="A478" s="461" t="s">
        <v>2558</v>
      </c>
      <c r="B478" s="579"/>
      <c r="C478" s="580"/>
      <c r="D478" s="580"/>
      <c r="E478" s="580"/>
      <c r="F478" s="580"/>
      <c r="G478" s="580"/>
      <c r="H478" s="580"/>
      <c r="I478" s="580"/>
      <c r="J478" s="580"/>
      <c r="K478" s="580"/>
      <c r="L478" s="580"/>
      <c r="M478" s="580"/>
      <c r="N478" s="581"/>
      <c r="O478" s="580"/>
      <c r="P478" s="580"/>
      <c r="Q478" s="582"/>
      <c r="R478" s="582"/>
    </row>
    <row r="479" spans="1:18" ht="15" x14ac:dyDescent="0.25">
      <c r="A479" s="458">
        <v>45201</v>
      </c>
      <c r="B479" s="572" t="s">
        <v>3210</v>
      </c>
      <c r="C479" s="570">
        <v>57500</v>
      </c>
      <c r="D479" s="570"/>
      <c r="E479" s="570"/>
      <c r="F479" s="570"/>
      <c r="G479" s="570"/>
      <c r="H479" s="570"/>
      <c r="I479" s="570"/>
      <c r="J479" s="570"/>
      <c r="K479" s="570"/>
      <c r="L479" s="570"/>
      <c r="M479" s="570"/>
      <c r="N479" s="571"/>
      <c r="O479" s="570"/>
      <c r="P479" s="570"/>
      <c r="Q479" s="570"/>
      <c r="R479" s="570"/>
    </row>
    <row r="480" spans="1:18" ht="15" x14ac:dyDescent="0.25">
      <c r="A480" s="717"/>
      <c r="B480" s="572" t="s">
        <v>3212</v>
      </c>
      <c r="C480" s="570"/>
      <c r="D480" s="570"/>
      <c r="E480" s="570"/>
      <c r="F480" s="570"/>
      <c r="G480" s="570"/>
      <c r="H480" s="570">
        <v>150000</v>
      </c>
      <c r="I480" s="570"/>
      <c r="J480" s="570"/>
      <c r="K480" s="570"/>
      <c r="L480" s="570"/>
      <c r="M480" s="570"/>
      <c r="N480" s="571"/>
      <c r="O480" s="570"/>
      <c r="P480" s="570"/>
      <c r="Q480" s="570"/>
      <c r="R480" s="570"/>
    </row>
    <row r="481" spans="1:18" ht="15" x14ac:dyDescent="0.25">
      <c r="A481" s="717"/>
      <c r="B481" s="572" t="s">
        <v>3226</v>
      </c>
      <c r="C481" s="570"/>
      <c r="D481" s="570"/>
      <c r="E481" s="570"/>
      <c r="F481" s="570"/>
      <c r="G481" s="570"/>
      <c r="H481" s="570">
        <v>250000</v>
      </c>
      <c r="I481" s="570"/>
      <c r="J481" s="570"/>
      <c r="K481" s="570"/>
      <c r="L481" s="570"/>
      <c r="M481" s="570"/>
      <c r="N481" s="571"/>
      <c r="O481" s="570"/>
      <c r="P481" s="570"/>
      <c r="Q481" s="570"/>
      <c r="R481" s="570"/>
    </row>
    <row r="482" spans="1:18" ht="15" x14ac:dyDescent="0.25">
      <c r="A482" s="717"/>
      <c r="B482" s="572" t="s">
        <v>7048</v>
      </c>
      <c r="C482" s="570"/>
      <c r="D482" s="570"/>
      <c r="E482" s="570"/>
      <c r="F482" s="570"/>
      <c r="G482" s="570"/>
      <c r="H482" s="570"/>
      <c r="I482" s="570"/>
      <c r="J482" s="570"/>
      <c r="K482" s="570"/>
      <c r="L482" s="570"/>
      <c r="M482" s="570"/>
      <c r="N482" s="571"/>
      <c r="O482" s="570"/>
      <c r="P482" s="570"/>
      <c r="Q482" s="570"/>
      <c r="R482" s="570">
        <f>45000+15000</f>
        <v>60000</v>
      </c>
    </row>
    <row r="483" spans="1:18" ht="15" x14ac:dyDescent="0.25">
      <c r="A483" s="459">
        <v>45202</v>
      </c>
      <c r="B483" s="572" t="s">
        <v>7029</v>
      </c>
      <c r="C483" s="570"/>
      <c r="D483" s="570"/>
      <c r="E483" s="570"/>
      <c r="F483" s="570"/>
      <c r="G483" s="570"/>
      <c r="H483" s="570"/>
      <c r="I483" s="570"/>
      <c r="J483" s="570"/>
      <c r="K483" s="570"/>
      <c r="L483" s="570"/>
      <c r="M483" s="570"/>
      <c r="N483" s="714">
        <v>1995821</v>
      </c>
      <c r="O483" s="570"/>
      <c r="P483" s="570"/>
      <c r="Q483" s="570"/>
      <c r="R483" s="570"/>
    </row>
    <row r="484" spans="1:18" ht="15" x14ac:dyDescent="0.25">
      <c r="A484" s="459"/>
      <c r="B484" s="569" t="s">
        <v>7049</v>
      </c>
      <c r="C484" s="570"/>
      <c r="D484" s="570"/>
      <c r="E484" s="570"/>
      <c r="F484" s="570"/>
      <c r="G484" s="570"/>
      <c r="H484" s="570"/>
      <c r="I484" s="570">
        <v>871000</v>
      </c>
      <c r="J484" s="570"/>
      <c r="K484" s="570"/>
      <c r="L484" s="570"/>
      <c r="M484" s="570"/>
      <c r="N484" s="714"/>
      <c r="O484" s="570"/>
      <c r="P484" s="570"/>
      <c r="Q484" s="570"/>
      <c r="R484" s="570"/>
    </row>
    <row r="485" spans="1:18" ht="15" x14ac:dyDescent="0.25">
      <c r="A485" s="459"/>
      <c r="B485" s="569" t="s">
        <v>6282</v>
      </c>
      <c r="C485" s="570"/>
      <c r="D485" s="570"/>
      <c r="E485" s="570"/>
      <c r="F485" s="570"/>
      <c r="G485" s="570"/>
      <c r="H485" s="570">
        <v>150000</v>
      </c>
      <c r="I485" s="570"/>
      <c r="J485" s="570"/>
      <c r="K485" s="570"/>
      <c r="L485" s="570"/>
      <c r="M485" s="570"/>
      <c r="N485" s="714"/>
      <c r="O485" s="570"/>
      <c r="P485" s="570"/>
      <c r="Q485" s="570"/>
      <c r="R485" s="570"/>
    </row>
    <row r="486" spans="1:18" ht="15" x14ac:dyDescent="0.25">
      <c r="A486" s="459">
        <v>45205</v>
      </c>
      <c r="B486" s="569" t="s">
        <v>7050</v>
      </c>
      <c r="C486" s="570"/>
      <c r="D486" s="570"/>
      <c r="E486" s="570"/>
      <c r="F486" s="570"/>
      <c r="G486" s="570"/>
      <c r="H486" s="570">
        <v>150000</v>
      </c>
      <c r="I486" s="570"/>
      <c r="J486" s="570"/>
      <c r="K486" s="570"/>
      <c r="L486" s="570"/>
      <c r="M486" s="570"/>
      <c r="N486" s="571"/>
      <c r="O486" s="570"/>
      <c r="P486" s="570"/>
      <c r="Q486" s="570"/>
      <c r="R486" s="570"/>
    </row>
    <row r="487" spans="1:18" ht="15" x14ac:dyDescent="0.25">
      <c r="A487" s="459">
        <v>45206</v>
      </c>
      <c r="B487" s="569" t="s">
        <v>7051</v>
      </c>
      <c r="C487" s="570"/>
      <c r="D487" s="570"/>
      <c r="E487" s="570"/>
      <c r="F487" s="570"/>
      <c r="G487" s="570">
        <v>2657000</v>
      </c>
      <c r="H487" s="570"/>
      <c r="I487" s="570"/>
      <c r="J487" s="570"/>
      <c r="K487" s="570"/>
      <c r="L487" s="570"/>
      <c r="M487" s="570"/>
      <c r="N487" s="571"/>
      <c r="O487" s="570"/>
      <c r="P487" s="570"/>
      <c r="Q487" s="570"/>
      <c r="R487" s="570"/>
    </row>
    <row r="488" spans="1:18" ht="15" x14ac:dyDescent="0.25">
      <c r="A488" s="459"/>
      <c r="B488" s="572" t="s">
        <v>7052</v>
      </c>
      <c r="C488" s="570"/>
      <c r="D488" s="570"/>
      <c r="E488" s="570"/>
      <c r="F488" s="570"/>
      <c r="G488" s="570"/>
      <c r="H488" s="570"/>
      <c r="I488" s="570">
        <v>70000</v>
      </c>
      <c r="J488" s="570"/>
      <c r="K488" s="570"/>
      <c r="L488" s="570"/>
      <c r="M488" s="570"/>
      <c r="N488" s="571"/>
      <c r="O488" s="570"/>
      <c r="P488" s="570"/>
      <c r="Q488" s="570"/>
      <c r="R488" s="570"/>
    </row>
    <row r="489" spans="1:18" ht="28.5" x14ac:dyDescent="0.25">
      <c r="A489" s="459"/>
      <c r="B489" s="610" t="s">
        <v>6393</v>
      </c>
      <c r="C489" s="570"/>
      <c r="D489" s="570"/>
      <c r="E489" s="570"/>
      <c r="F489" s="570"/>
      <c r="G489" s="570"/>
      <c r="H489" s="570"/>
      <c r="I489" s="570"/>
      <c r="J489" s="570"/>
      <c r="K489" s="570"/>
      <c r="L489" s="570"/>
      <c r="M489" s="570"/>
      <c r="N489" s="571"/>
      <c r="O489" s="570">
        <v>5820000</v>
      </c>
      <c r="P489" s="570"/>
      <c r="Q489" s="570"/>
      <c r="R489" s="570"/>
    </row>
    <row r="490" spans="1:18" ht="28.5" x14ac:dyDescent="0.25">
      <c r="A490" s="459"/>
      <c r="B490" s="611" t="s">
        <v>6394</v>
      </c>
      <c r="C490" s="570"/>
      <c r="D490" s="570"/>
      <c r="E490" s="570"/>
      <c r="F490" s="570"/>
      <c r="G490" s="570"/>
      <c r="H490" s="570"/>
      <c r="I490" s="570"/>
      <c r="J490" s="570"/>
      <c r="K490" s="570"/>
      <c r="L490" s="570"/>
      <c r="M490" s="570"/>
      <c r="N490" s="571"/>
      <c r="O490" s="570"/>
      <c r="P490" s="570">
        <f>40000*6</f>
        <v>240000</v>
      </c>
      <c r="Q490" s="570"/>
      <c r="R490" s="570"/>
    </row>
    <row r="491" spans="1:18" ht="15" x14ac:dyDescent="0.25">
      <c r="A491" s="459">
        <v>45177</v>
      </c>
      <c r="B491" s="610" t="s">
        <v>3207</v>
      </c>
      <c r="C491" s="570"/>
      <c r="D491" s="570"/>
      <c r="E491" s="570"/>
      <c r="F491" s="570"/>
      <c r="G491" s="570"/>
      <c r="H491" s="570"/>
      <c r="I491" s="570"/>
      <c r="J491" s="570"/>
      <c r="K491" s="570">
        <v>74673</v>
      </c>
      <c r="L491" s="570"/>
      <c r="M491" s="570"/>
      <c r="N491" s="571"/>
      <c r="O491" s="570"/>
      <c r="P491" s="570"/>
      <c r="Q491" s="570"/>
      <c r="R491" s="570"/>
    </row>
    <row r="492" spans="1:18" ht="15" x14ac:dyDescent="0.25">
      <c r="A492" s="459"/>
      <c r="B492" s="721" t="s">
        <v>3208</v>
      </c>
      <c r="C492" s="570"/>
      <c r="D492" s="570"/>
      <c r="E492" s="570"/>
      <c r="F492" s="570"/>
      <c r="G492" s="570"/>
      <c r="H492" s="570"/>
      <c r="I492" s="570"/>
      <c r="J492" s="570"/>
      <c r="K492" s="570">
        <v>355200</v>
      </c>
      <c r="L492" s="570"/>
      <c r="M492" s="570"/>
      <c r="N492" s="571"/>
      <c r="O492" s="570"/>
      <c r="P492" s="570"/>
      <c r="Q492" s="570"/>
      <c r="R492" s="570"/>
    </row>
    <row r="493" spans="1:18" ht="15" x14ac:dyDescent="0.25">
      <c r="A493" s="459">
        <v>45208</v>
      </c>
      <c r="B493" s="572" t="s">
        <v>3210</v>
      </c>
      <c r="C493" s="570">
        <v>57500</v>
      </c>
      <c r="D493" s="570"/>
      <c r="E493" s="570"/>
      <c r="F493" s="570"/>
      <c r="G493" s="570"/>
      <c r="H493" s="570"/>
      <c r="I493" s="570"/>
      <c r="J493" s="570"/>
      <c r="K493" s="570"/>
      <c r="L493" s="570"/>
      <c r="M493" s="570"/>
      <c r="N493" s="571"/>
      <c r="O493" s="570"/>
      <c r="P493" s="570"/>
      <c r="Q493" s="570"/>
      <c r="R493" s="570"/>
    </row>
    <row r="494" spans="1:18" ht="15" x14ac:dyDescent="0.25">
      <c r="A494" s="459"/>
      <c r="B494" s="572" t="s">
        <v>3214</v>
      </c>
      <c r="C494" s="570"/>
      <c r="D494" s="570"/>
      <c r="E494" s="570"/>
      <c r="F494" s="570"/>
      <c r="G494" s="570"/>
      <c r="H494" s="570">
        <v>213430</v>
      </c>
      <c r="I494" s="570"/>
      <c r="J494" s="570"/>
      <c r="K494" s="570"/>
      <c r="L494" s="570"/>
      <c r="M494" s="570"/>
      <c r="N494" s="571"/>
      <c r="O494" s="570"/>
      <c r="P494" s="570"/>
      <c r="Q494" s="570"/>
      <c r="R494" s="570"/>
    </row>
    <row r="495" spans="1:18" ht="15" x14ac:dyDescent="0.25">
      <c r="A495" s="459">
        <v>45209</v>
      </c>
      <c r="B495" s="572" t="s">
        <v>7053</v>
      </c>
      <c r="C495" s="570"/>
      <c r="D495" s="570"/>
      <c r="E495" s="570"/>
      <c r="F495" s="570"/>
      <c r="G495" s="570">
        <v>200000</v>
      </c>
      <c r="H495" s="570"/>
      <c r="I495" s="570"/>
      <c r="J495" s="570"/>
      <c r="K495" s="570"/>
      <c r="L495" s="570"/>
      <c r="M495" s="570"/>
      <c r="N495" s="571"/>
      <c r="O495" s="570"/>
      <c r="P495" s="570"/>
      <c r="Q495" s="570"/>
      <c r="R495" s="570"/>
    </row>
    <row r="496" spans="1:18" ht="15" x14ac:dyDescent="0.25">
      <c r="A496" s="459">
        <v>45210</v>
      </c>
      <c r="B496" s="572" t="s">
        <v>4140</v>
      </c>
      <c r="C496" s="570"/>
      <c r="D496" s="570"/>
      <c r="E496" s="570"/>
      <c r="F496" s="570"/>
      <c r="G496" s="570"/>
      <c r="H496" s="570"/>
      <c r="I496" s="570"/>
      <c r="J496" s="570"/>
      <c r="K496" s="570">
        <v>104000</v>
      </c>
      <c r="L496" s="570"/>
      <c r="M496" s="570"/>
      <c r="N496" s="571"/>
      <c r="O496" s="570"/>
      <c r="P496" s="570"/>
      <c r="Q496" s="570"/>
      <c r="R496" s="570"/>
    </row>
    <row r="497" spans="1:18" ht="15" x14ac:dyDescent="0.25">
      <c r="A497" s="459">
        <v>45211</v>
      </c>
      <c r="B497" s="572" t="s">
        <v>3213</v>
      </c>
      <c r="C497" s="570"/>
      <c r="D497" s="570"/>
      <c r="E497" s="570"/>
      <c r="F497" s="570">
        <v>769500</v>
      </c>
      <c r="G497" s="570"/>
      <c r="H497" s="570"/>
      <c r="I497" s="570"/>
      <c r="J497" s="570"/>
      <c r="K497" s="570"/>
      <c r="L497" s="570"/>
      <c r="M497" s="570"/>
      <c r="N497" s="571"/>
      <c r="O497" s="570"/>
      <c r="P497" s="570"/>
      <c r="Q497" s="570"/>
      <c r="R497" s="570"/>
    </row>
    <row r="498" spans="1:18" ht="15" x14ac:dyDescent="0.25">
      <c r="A498" s="459"/>
      <c r="B498" s="572" t="s">
        <v>3225</v>
      </c>
      <c r="C498" s="570"/>
      <c r="D498" s="570"/>
      <c r="E498" s="570"/>
      <c r="F498" s="570"/>
      <c r="G498" s="570">
        <v>240000</v>
      </c>
      <c r="H498" s="570"/>
      <c r="I498" s="570"/>
      <c r="J498" s="570"/>
      <c r="K498" s="570"/>
      <c r="L498" s="570"/>
      <c r="M498" s="570"/>
      <c r="N498" s="571"/>
      <c r="O498" s="570"/>
      <c r="P498" s="570"/>
      <c r="Q498" s="570"/>
      <c r="R498" s="570"/>
    </row>
    <row r="499" spans="1:18" ht="15" x14ac:dyDescent="0.25">
      <c r="A499" s="459"/>
      <c r="B499" s="572" t="s">
        <v>3237</v>
      </c>
      <c r="C499" s="570"/>
      <c r="D499" s="570"/>
      <c r="E499" s="570"/>
      <c r="F499" s="570"/>
      <c r="G499" s="570"/>
      <c r="H499" s="570"/>
      <c r="I499" s="570"/>
      <c r="J499" s="570">
        <v>1002500</v>
      </c>
      <c r="K499" s="570"/>
      <c r="L499" s="570"/>
      <c r="M499" s="570"/>
      <c r="N499" s="571"/>
      <c r="O499" s="570"/>
      <c r="P499" s="570"/>
      <c r="Q499" s="570"/>
      <c r="R499" s="570"/>
    </row>
    <row r="500" spans="1:18" ht="15" x14ac:dyDescent="0.25">
      <c r="A500" s="459">
        <v>45212</v>
      </c>
      <c r="B500" s="572" t="s">
        <v>7054</v>
      </c>
      <c r="C500" s="570"/>
      <c r="D500" s="570"/>
      <c r="E500" s="570"/>
      <c r="F500" s="570"/>
      <c r="G500" s="570"/>
      <c r="H500" s="570"/>
      <c r="I500" s="570">
        <v>950000</v>
      </c>
      <c r="J500" s="570"/>
      <c r="K500" s="570"/>
      <c r="L500" s="570"/>
      <c r="M500" s="570"/>
      <c r="N500" s="571"/>
      <c r="O500" s="570"/>
      <c r="P500" s="570"/>
      <c r="Q500" s="570"/>
      <c r="R500" s="570"/>
    </row>
    <row r="501" spans="1:18" ht="15" x14ac:dyDescent="0.25">
      <c r="A501" s="459">
        <v>45213</v>
      </c>
      <c r="B501" s="573" t="s">
        <v>6598</v>
      </c>
      <c r="C501" s="570"/>
      <c r="D501" s="570"/>
      <c r="E501" s="570"/>
      <c r="F501" s="570"/>
      <c r="G501" s="570"/>
      <c r="H501" s="570">
        <v>70000</v>
      </c>
      <c r="I501" s="570"/>
      <c r="J501" s="570"/>
      <c r="K501" s="570"/>
      <c r="L501" s="570"/>
      <c r="M501" s="570"/>
      <c r="N501" s="571"/>
      <c r="O501" s="570"/>
      <c r="P501" s="570"/>
      <c r="Q501" s="570"/>
      <c r="R501" s="570"/>
    </row>
    <row r="502" spans="1:18" ht="28.5" x14ac:dyDescent="0.25">
      <c r="A502" s="459"/>
      <c r="B502" s="611" t="s">
        <v>6395</v>
      </c>
      <c r="C502" s="570"/>
      <c r="D502" s="570"/>
      <c r="E502" s="570"/>
      <c r="F502" s="570"/>
      <c r="G502" s="570"/>
      <c r="H502" s="570"/>
      <c r="I502" s="570"/>
      <c r="J502" s="570"/>
      <c r="K502" s="570"/>
      <c r="L502" s="570"/>
      <c r="M502" s="570"/>
      <c r="N502" s="571"/>
      <c r="O502" s="570"/>
      <c r="P502" s="570">
        <f>40000*7</f>
        <v>280000</v>
      </c>
      <c r="Q502" s="570"/>
      <c r="R502" s="570"/>
    </row>
    <row r="503" spans="1:18" ht="15" x14ac:dyDescent="0.25">
      <c r="A503" s="459">
        <v>45215</v>
      </c>
      <c r="B503" s="572" t="s">
        <v>3210</v>
      </c>
      <c r="C503" s="570">
        <v>58700</v>
      </c>
      <c r="D503" s="570"/>
      <c r="E503" s="570"/>
      <c r="F503" s="570"/>
      <c r="G503" s="570"/>
      <c r="H503" s="570"/>
      <c r="I503" s="570"/>
      <c r="J503" s="570"/>
      <c r="K503" s="570"/>
      <c r="L503" s="570"/>
      <c r="M503" s="570"/>
      <c r="N503" s="571"/>
      <c r="O503" s="570"/>
      <c r="P503" s="570"/>
      <c r="Q503" s="570"/>
      <c r="R503" s="570"/>
    </row>
    <row r="504" spans="1:18" ht="15" x14ac:dyDescent="0.25">
      <c r="A504" s="459"/>
      <c r="B504" s="572" t="s">
        <v>7055</v>
      </c>
      <c r="C504" s="570"/>
      <c r="D504" s="570"/>
      <c r="E504" s="570"/>
      <c r="F504" s="570"/>
      <c r="G504" s="570"/>
      <c r="H504" s="570"/>
      <c r="I504" s="570">
        <v>540000</v>
      </c>
      <c r="J504" s="570"/>
      <c r="K504" s="570"/>
      <c r="L504" s="570"/>
      <c r="M504" s="570"/>
      <c r="N504" s="571"/>
      <c r="O504" s="570"/>
      <c r="P504" s="570"/>
      <c r="Q504" s="570"/>
      <c r="R504" s="570"/>
    </row>
    <row r="505" spans="1:18" ht="15" x14ac:dyDescent="0.25">
      <c r="A505" s="459">
        <v>45219</v>
      </c>
      <c r="B505" s="572" t="s">
        <v>7056</v>
      </c>
      <c r="C505" s="570"/>
      <c r="D505" s="570"/>
      <c r="E505" s="570"/>
      <c r="F505" s="570"/>
      <c r="G505" s="570">
        <v>250000</v>
      </c>
      <c r="H505" s="570"/>
      <c r="I505" s="570"/>
      <c r="J505" s="570"/>
      <c r="K505" s="570"/>
      <c r="L505" s="570"/>
      <c r="M505" s="570"/>
      <c r="N505" s="571"/>
      <c r="O505" s="570"/>
      <c r="P505" s="570"/>
      <c r="Q505" s="570"/>
      <c r="R505" s="570"/>
    </row>
    <row r="506" spans="1:18" ht="15" x14ac:dyDescent="0.25">
      <c r="A506" s="459">
        <v>45220</v>
      </c>
      <c r="B506" s="572" t="s">
        <v>3218</v>
      </c>
      <c r="C506" s="570"/>
      <c r="D506" s="570"/>
      <c r="E506" s="570">
        <v>220000</v>
      </c>
      <c r="F506" s="570"/>
      <c r="G506" s="570"/>
      <c r="H506" s="570"/>
      <c r="I506" s="570"/>
      <c r="J506" s="570"/>
      <c r="K506" s="570"/>
      <c r="L506" s="570"/>
      <c r="M506" s="570"/>
      <c r="N506" s="571"/>
      <c r="O506" s="570"/>
      <c r="P506" s="570"/>
      <c r="Q506" s="570"/>
      <c r="R506" s="570"/>
    </row>
    <row r="507" spans="1:18" ht="15" x14ac:dyDescent="0.25">
      <c r="A507" s="459"/>
      <c r="B507" s="573" t="s">
        <v>7057</v>
      </c>
      <c r="C507" s="570"/>
      <c r="D507" s="570"/>
      <c r="E507" s="570"/>
      <c r="F507" s="570"/>
      <c r="G507" s="570"/>
      <c r="H507" s="570"/>
      <c r="I507" s="570">
        <v>598000</v>
      </c>
      <c r="J507" s="570"/>
      <c r="K507" s="570"/>
      <c r="L507" s="570"/>
      <c r="M507" s="570"/>
      <c r="N507" s="571"/>
      <c r="O507" s="570"/>
      <c r="P507" s="570"/>
      <c r="Q507" s="570"/>
      <c r="R507" s="570"/>
    </row>
    <row r="508" spans="1:18" ht="15" x14ac:dyDescent="0.25">
      <c r="A508" s="459"/>
      <c r="B508" s="573" t="s">
        <v>7058</v>
      </c>
      <c r="C508" s="570"/>
      <c r="D508" s="570"/>
      <c r="E508" s="570"/>
      <c r="F508" s="570"/>
      <c r="G508" s="570"/>
      <c r="H508" s="570"/>
      <c r="I508" s="570"/>
      <c r="J508" s="570"/>
      <c r="K508" s="570"/>
      <c r="L508" s="570"/>
      <c r="M508" s="570"/>
      <c r="N508" s="571"/>
      <c r="O508" s="570"/>
      <c r="P508" s="570"/>
      <c r="Q508" s="570"/>
      <c r="R508" s="570">
        <v>58270</v>
      </c>
    </row>
    <row r="509" spans="1:18" ht="15" x14ac:dyDescent="0.25">
      <c r="A509" s="459"/>
      <c r="B509" s="573" t="s">
        <v>4139</v>
      </c>
      <c r="C509" s="570"/>
      <c r="D509" s="570"/>
      <c r="E509" s="570"/>
      <c r="F509" s="570"/>
      <c r="G509" s="570"/>
      <c r="H509" s="570">
        <v>150000</v>
      </c>
      <c r="I509" s="570"/>
      <c r="J509" s="570"/>
      <c r="K509" s="570"/>
      <c r="L509" s="570"/>
      <c r="M509" s="570"/>
      <c r="N509" s="571"/>
      <c r="O509" s="570"/>
      <c r="P509" s="570"/>
      <c r="Q509" s="570"/>
      <c r="R509" s="570"/>
    </row>
    <row r="510" spans="1:18" ht="28.5" x14ac:dyDescent="0.25">
      <c r="A510" s="459"/>
      <c r="B510" s="610" t="s">
        <v>6396</v>
      </c>
      <c r="C510" s="570"/>
      <c r="D510" s="570"/>
      <c r="E510" s="570"/>
      <c r="F510" s="570"/>
      <c r="G510" s="570"/>
      <c r="H510" s="570"/>
      <c r="I510" s="570"/>
      <c r="J510" s="570"/>
      <c r="K510" s="570"/>
      <c r="L510" s="570"/>
      <c r="M510" s="570"/>
      <c r="N510" s="571"/>
      <c r="O510" s="570">
        <v>6370000</v>
      </c>
      <c r="P510" s="570"/>
      <c r="Q510" s="570"/>
      <c r="R510" s="570"/>
    </row>
    <row r="511" spans="1:18" ht="28.5" x14ac:dyDescent="0.25">
      <c r="A511" s="459"/>
      <c r="B511" s="611" t="s">
        <v>6397</v>
      </c>
      <c r="C511" s="570"/>
      <c r="D511" s="570"/>
      <c r="E511" s="570"/>
      <c r="F511" s="570"/>
      <c r="G511" s="570"/>
      <c r="H511" s="570"/>
      <c r="I511" s="570"/>
      <c r="J511" s="570"/>
      <c r="K511" s="570"/>
      <c r="L511" s="570"/>
      <c r="M511" s="570"/>
      <c r="N511" s="571"/>
      <c r="O511" s="570"/>
      <c r="P511" s="570">
        <f>40000*10</f>
        <v>400000</v>
      </c>
      <c r="Q511" s="570"/>
      <c r="R511" s="570"/>
    </row>
    <row r="512" spans="1:18" ht="15" x14ac:dyDescent="0.25">
      <c r="A512" s="459">
        <v>45222</v>
      </c>
      <c r="B512" s="572" t="s">
        <v>3210</v>
      </c>
      <c r="C512" s="570">
        <v>58700</v>
      </c>
      <c r="D512" s="570"/>
      <c r="E512" s="570"/>
      <c r="F512" s="570"/>
      <c r="G512" s="570"/>
      <c r="H512" s="570"/>
      <c r="I512" s="570"/>
      <c r="J512" s="570"/>
      <c r="K512" s="570"/>
      <c r="L512" s="570"/>
      <c r="M512" s="570"/>
      <c r="N512" s="571"/>
      <c r="O512" s="570"/>
      <c r="P512" s="570"/>
      <c r="Q512" s="570"/>
      <c r="R512" s="570"/>
    </row>
    <row r="513" spans="1:18" ht="15" x14ac:dyDescent="0.25">
      <c r="A513" s="459">
        <v>45224</v>
      </c>
      <c r="B513" s="572" t="s">
        <v>7059</v>
      </c>
      <c r="C513" s="570"/>
      <c r="D513" s="570"/>
      <c r="E513" s="570">
        <v>81220</v>
      </c>
      <c r="F513" s="570"/>
      <c r="G513" s="570"/>
      <c r="H513" s="570"/>
      <c r="I513" s="570"/>
      <c r="J513" s="570"/>
      <c r="K513" s="570"/>
      <c r="L513" s="570"/>
      <c r="M513" s="570"/>
      <c r="N513" s="571"/>
      <c r="O513" s="570"/>
      <c r="P513" s="570"/>
      <c r="Q513" s="570"/>
      <c r="R513" s="570"/>
    </row>
    <row r="514" spans="1:18" ht="15" x14ac:dyDescent="0.25">
      <c r="A514" s="459">
        <v>45226</v>
      </c>
      <c r="B514" s="585" t="s">
        <v>7060</v>
      </c>
      <c r="C514" s="570">
        <v>650000</v>
      </c>
      <c r="D514" s="570"/>
      <c r="E514" s="570"/>
      <c r="F514" s="570"/>
      <c r="G514" s="570"/>
      <c r="H514" s="570"/>
      <c r="I514" s="570"/>
      <c r="J514" s="570"/>
      <c r="K514" s="570"/>
      <c r="L514" s="570"/>
      <c r="M514" s="570"/>
      <c r="N514" s="571"/>
      <c r="O514" s="570"/>
      <c r="P514" s="570"/>
      <c r="Q514" s="570"/>
      <c r="R514" s="570"/>
    </row>
    <row r="515" spans="1:18" ht="15" x14ac:dyDescent="0.25">
      <c r="A515" s="459">
        <v>45227</v>
      </c>
      <c r="B515" s="585" t="s">
        <v>3218</v>
      </c>
      <c r="C515" s="570"/>
      <c r="D515" s="570"/>
      <c r="E515" s="570">
        <v>220000</v>
      </c>
      <c r="F515" s="570"/>
      <c r="G515" s="570"/>
      <c r="H515" s="570"/>
      <c r="I515" s="570"/>
      <c r="J515" s="570"/>
      <c r="K515" s="570"/>
      <c r="L515" s="570"/>
      <c r="M515" s="570"/>
      <c r="N515" s="571"/>
      <c r="O515" s="570"/>
      <c r="P515" s="570"/>
      <c r="Q515" s="570"/>
      <c r="R515" s="570"/>
    </row>
    <row r="516" spans="1:18" ht="28.5" x14ac:dyDescent="0.25">
      <c r="A516" s="459"/>
      <c r="B516" s="611" t="s">
        <v>6398</v>
      </c>
      <c r="C516" s="570"/>
      <c r="D516" s="570"/>
      <c r="E516" s="570"/>
      <c r="F516" s="570"/>
      <c r="G516" s="570"/>
      <c r="H516" s="570"/>
      <c r="I516" s="570"/>
      <c r="J516" s="570"/>
      <c r="K516" s="570"/>
      <c r="L516" s="570"/>
      <c r="M516" s="570"/>
      <c r="N516" s="571"/>
      <c r="O516" s="570"/>
      <c r="P516" s="570">
        <f>40000*8</f>
        <v>320000</v>
      </c>
      <c r="Q516" s="570"/>
      <c r="R516" s="570"/>
    </row>
    <row r="517" spans="1:18" ht="15" x14ac:dyDescent="0.25">
      <c r="A517" s="459">
        <v>45229</v>
      </c>
      <c r="B517" s="572" t="s">
        <v>3210</v>
      </c>
      <c r="C517" s="570">
        <v>57500</v>
      </c>
      <c r="D517" s="570"/>
      <c r="E517" s="570"/>
      <c r="F517" s="570"/>
      <c r="G517" s="570"/>
      <c r="H517" s="570"/>
      <c r="I517" s="570"/>
      <c r="J517" s="570"/>
      <c r="K517" s="570"/>
      <c r="L517" s="570"/>
      <c r="M517" s="570"/>
      <c r="N517" s="571"/>
      <c r="O517" s="570"/>
      <c r="P517" s="570"/>
      <c r="Q517" s="570"/>
      <c r="R517" s="570"/>
    </row>
    <row r="518" spans="1:18" ht="15" x14ac:dyDescent="0.25">
      <c r="A518" s="459"/>
      <c r="B518" s="720" t="s">
        <v>7061</v>
      </c>
      <c r="C518" s="570"/>
      <c r="D518" s="570"/>
      <c r="E518" s="570"/>
      <c r="F518" s="570"/>
      <c r="G518" s="570"/>
      <c r="H518" s="570"/>
      <c r="I518" s="570"/>
      <c r="J518" s="570"/>
      <c r="K518" s="570"/>
      <c r="L518" s="570">
        <f>2895000/2</f>
        <v>1447500</v>
      </c>
      <c r="M518" s="570"/>
      <c r="N518" s="571"/>
      <c r="O518" s="570"/>
      <c r="P518" s="570"/>
      <c r="Q518" s="570"/>
      <c r="R518" s="570"/>
    </row>
    <row r="519" spans="1:18" ht="15" x14ac:dyDescent="0.25">
      <c r="A519" s="459"/>
      <c r="B519" s="720" t="s">
        <v>7062</v>
      </c>
      <c r="C519" s="570"/>
      <c r="D519" s="570"/>
      <c r="E519" s="570"/>
      <c r="F519" s="570"/>
      <c r="G519" s="570"/>
      <c r="H519" s="570"/>
      <c r="I519" s="570"/>
      <c r="J519" s="570"/>
      <c r="K519" s="570"/>
      <c r="L519" s="570">
        <f>2165000/2</f>
        <v>1082500</v>
      </c>
      <c r="M519" s="570"/>
      <c r="N519" s="571"/>
      <c r="O519" s="570"/>
      <c r="P519" s="570"/>
      <c r="Q519" s="570"/>
      <c r="R519" s="570"/>
    </row>
    <row r="520" spans="1:18" ht="15" x14ac:dyDescent="0.25">
      <c r="A520" s="459"/>
      <c r="B520" s="720" t="s">
        <v>7063</v>
      </c>
      <c r="C520" s="570"/>
      <c r="D520" s="570"/>
      <c r="E520" s="570"/>
      <c r="F520" s="570"/>
      <c r="G520" s="570"/>
      <c r="H520" s="570"/>
      <c r="I520" s="570"/>
      <c r="J520" s="570"/>
      <c r="K520" s="570"/>
      <c r="L520" s="570">
        <f>3325000/2</f>
        <v>1662500</v>
      </c>
      <c r="M520" s="570"/>
      <c r="N520" s="571"/>
      <c r="O520" s="570"/>
      <c r="P520" s="570"/>
      <c r="Q520" s="570"/>
      <c r="R520" s="570"/>
    </row>
    <row r="521" spans="1:18" ht="15" x14ac:dyDescent="0.25">
      <c r="A521" s="459">
        <v>45230</v>
      </c>
      <c r="B521" s="610" t="s">
        <v>2625</v>
      </c>
      <c r="C521" s="570"/>
      <c r="D521" s="570"/>
      <c r="E521" s="570"/>
      <c r="F521" s="570"/>
      <c r="G521" s="570"/>
      <c r="H521" s="570"/>
      <c r="I521" s="570"/>
      <c r="J521" s="570"/>
      <c r="K521" s="570"/>
      <c r="L521" s="570"/>
      <c r="M521" s="570"/>
      <c r="N521" s="571"/>
      <c r="O521" s="570">
        <v>19400000</v>
      </c>
      <c r="P521" s="570"/>
      <c r="Q521" s="570"/>
      <c r="R521" s="570"/>
    </row>
    <row r="522" spans="1:18" ht="15" x14ac:dyDescent="0.25">
      <c r="A522" s="459"/>
      <c r="B522" s="610" t="s">
        <v>2626</v>
      </c>
      <c r="C522" s="570"/>
      <c r="D522" s="570"/>
      <c r="E522" s="570"/>
      <c r="F522" s="570"/>
      <c r="G522" s="570"/>
      <c r="H522" s="570"/>
      <c r="I522" s="570"/>
      <c r="J522" s="570"/>
      <c r="K522" s="570"/>
      <c r="L522" s="570"/>
      <c r="M522" s="570">
        <v>5257000</v>
      </c>
      <c r="N522" s="571"/>
      <c r="O522" s="570"/>
      <c r="P522" s="570"/>
      <c r="Q522" s="570"/>
      <c r="R522" s="570"/>
    </row>
    <row r="523" spans="1:18" ht="15" x14ac:dyDescent="0.25">
      <c r="A523" s="459"/>
      <c r="B523" s="610" t="s">
        <v>2627</v>
      </c>
      <c r="C523" s="570"/>
      <c r="D523" s="570"/>
      <c r="E523" s="570"/>
      <c r="F523" s="570"/>
      <c r="G523" s="570"/>
      <c r="H523" s="570"/>
      <c r="I523" s="570"/>
      <c r="J523" s="570"/>
      <c r="K523" s="570"/>
      <c r="L523" s="570"/>
      <c r="M523" s="570"/>
      <c r="N523" s="571"/>
      <c r="O523" s="570"/>
      <c r="P523" s="570">
        <v>1000000</v>
      </c>
      <c r="Q523" s="570"/>
      <c r="R523" s="570"/>
    </row>
    <row r="524" spans="1:18" ht="16.5" x14ac:dyDescent="0.25">
      <c r="A524" s="462"/>
      <c r="B524" s="577" t="s">
        <v>38</v>
      </c>
      <c r="C524" s="578">
        <f t="shared" ref="C524:R524" si="9">SUM(C479:C523)</f>
        <v>939900</v>
      </c>
      <c r="D524" s="578">
        <f t="shared" si="9"/>
        <v>0</v>
      </c>
      <c r="E524" s="578">
        <f t="shared" si="9"/>
        <v>521220</v>
      </c>
      <c r="F524" s="578">
        <f t="shared" si="9"/>
        <v>769500</v>
      </c>
      <c r="G524" s="578">
        <f t="shared" si="9"/>
        <v>3347000</v>
      </c>
      <c r="H524" s="578">
        <f t="shared" si="9"/>
        <v>1133430</v>
      </c>
      <c r="I524" s="578">
        <f t="shared" si="9"/>
        <v>3029000</v>
      </c>
      <c r="J524" s="578">
        <f t="shared" si="9"/>
        <v>1002500</v>
      </c>
      <c r="K524" s="578">
        <f t="shared" si="9"/>
        <v>533873</v>
      </c>
      <c r="L524" s="578">
        <f t="shared" si="9"/>
        <v>4192500</v>
      </c>
      <c r="M524" s="578">
        <f t="shared" si="9"/>
        <v>5257000</v>
      </c>
      <c r="N524" s="578">
        <f t="shared" si="9"/>
        <v>1995821</v>
      </c>
      <c r="O524" s="578">
        <f t="shared" si="9"/>
        <v>31590000</v>
      </c>
      <c r="P524" s="578">
        <f t="shared" si="9"/>
        <v>2240000</v>
      </c>
      <c r="Q524" s="578">
        <f t="shared" si="9"/>
        <v>0</v>
      </c>
      <c r="R524" s="578">
        <f t="shared" si="9"/>
        <v>118270</v>
      </c>
    </row>
    <row r="525" spans="1:18" ht="16.5" x14ac:dyDescent="0.25">
      <c r="A525" s="461" t="s">
        <v>2559</v>
      </c>
      <c r="B525" s="579"/>
      <c r="C525" s="580"/>
      <c r="D525" s="580"/>
      <c r="E525" s="580"/>
      <c r="F525" s="580"/>
      <c r="G525" s="580"/>
      <c r="H525" s="580"/>
      <c r="I525" s="580"/>
      <c r="J525" s="580"/>
      <c r="K525" s="580"/>
      <c r="L525" s="580"/>
      <c r="M525" s="580"/>
      <c r="N525" s="581"/>
      <c r="O525" s="580"/>
      <c r="P525" s="580"/>
      <c r="Q525" s="582"/>
      <c r="R525" s="582"/>
    </row>
    <row r="526" spans="1:18" ht="15" x14ac:dyDescent="0.25">
      <c r="A526" s="458">
        <v>45231</v>
      </c>
      <c r="B526" s="572" t="s">
        <v>7468</v>
      </c>
      <c r="C526" s="570">
        <v>450000</v>
      </c>
      <c r="D526" s="570"/>
      <c r="E526" s="570"/>
      <c r="F526" s="570"/>
      <c r="G526" s="570"/>
      <c r="H526" s="570"/>
      <c r="I526" s="570"/>
      <c r="J526" s="570"/>
      <c r="K526" s="570"/>
      <c r="L526" s="570"/>
      <c r="M526" s="570"/>
      <c r="N526" s="571"/>
      <c r="O526" s="570"/>
      <c r="P526" s="570"/>
      <c r="Q526" s="570"/>
      <c r="R526" s="570"/>
    </row>
    <row r="527" spans="1:18" ht="15" x14ac:dyDescent="0.25">
      <c r="A527" s="459">
        <v>45232</v>
      </c>
      <c r="B527" s="572" t="s">
        <v>7050</v>
      </c>
      <c r="C527" s="570"/>
      <c r="D527" s="570"/>
      <c r="E527" s="570"/>
      <c r="F527" s="570"/>
      <c r="G527" s="570"/>
      <c r="H527" s="570">
        <v>150000</v>
      </c>
      <c r="I527" s="570"/>
      <c r="J527" s="570"/>
      <c r="K527" s="570"/>
      <c r="L527" s="570"/>
      <c r="M527" s="570"/>
      <c r="N527" s="571"/>
      <c r="O527" s="570"/>
      <c r="P527" s="570"/>
      <c r="Q527" s="570"/>
      <c r="R527" s="570"/>
    </row>
    <row r="528" spans="1:18" ht="15" x14ac:dyDescent="0.25">
      <c r="A528" s="459">
        <v>45233</v>
      </c>
      <c r="B528" s="572" t="s">
        <v>7467</v>
      </c>
      <c r="C528" s="570"/>
      <c r="D528" s="570"/>
      <c r="E528" s="570"/>
      <c r="F528" s="570"/>
      <c r="G528" s="570"/>
      <c r="H528" s="570"/>
      <c r="I528" s="570"/>
      <c r="J528" s="570"/>
      <c r="K528" s="570"/>
      <c r="L528" s="570"/>
      <c r="M528" s="570"/>
      <c r="N528" s="714">
        <v>1995821</v>
      </c>
      <c r="O528" s="570"/>
      <c r="P528" s="570"/>
      <c r="Q528" s="570"/>
      <c r="R528" s="570"/>
    </row>
    <row r="529" spans="1:18" ht="15" x14ac:dyDescent="0.25">
      <c r="A529" s="459"/>
      <c r="B529" s="572" t="s">
        <v>3226</v>
      </c>
      <c r="C529" s="570"/>
      <c r="D529" s="570"/>
      <c r="E529" s="570"/>
      <c r="F529" s="570"/>
      <c r="G529" s="570"/>
      <c r="H529" s="570">
        <v>150000</v>
      </c>
      <c r="I529" s="570"/>
      <c r="J529" s="570"/>
      <c r="K529" s="570"/>
      <c r="L529" s="570"/>
      <c r="M529" s="570"/>
      <c r="N529" s="714"/>
      <c r="O529" s="570"/>
      <c r="P529" s="570"/>
      <c r="Q529" s="570"/>
      <c r="R529" s="570"/>
    </row>
    <row r="530" spans="1:18" ht="15" x14ac:dyDescent="0.25">
      <c r="A530" s="459">
        <v>45234</v>
      </c>
      <c r="B530" s="572" t="s">
        <v>6282</v>
      </c>
      <c r="C530" s="570"/>
      <c r="D530" s="570"/>
      <c r="E530" s="570"/>
      <c r="F530" s="570"/>
      <c r="G530" s="570"/>
      <c r="H530" s="570">
        <v>150000</v>
      </c>
      <c r="I530" s="570"/>
      <c r="J530" s="570"/>
      <c r="K530" s="570"/>
      <c r="L530" s="570"/>
      <c r="M530" s="570"/>
      <c r="N530" s="714"/>
      <c r="O530" s="570"/>
      <c r="P530" s="570"/>
      <c r="Q530" s="570"/>
      <c r="R530" s="570"/>
    </row>
    <row r="531" spans="1:18" ht="28.5" x14ac:dyDescent="0.25">
      <c r="A531" s="459"/>
      <c r="B531" s="610" t="s">
        <v>7143</v>
      </c>
      <c r="C531" s="570"/>
      <c r="D531" s="570"/>
      <c r="E531" s="570"/>
      <c r="F531" s="570"/>
      <c r="G531" s="570"/>
      <c r="H531" s="570"/>
      <c r="I531" s="570"/>
      <c r="J531" s="570"/>
      <c r="K531" s="570"/>
      <c r="L531" s="570"/>
      <c r="M531" s="570"/>
      <c r="N531" s="571"/>
      <c r="O531" s="570">
        <v>6370000</v>
      </c>
      <c r="P531" s="570"/>
      <c r="Q531" s="570"/>
      <c r="R531" s="570"/>
    </row>
    <row r="532" spans="1:18" ht="28.5" x14ac:dyDescent="0.25">
      <c r="A532" s="459"/>
      <c r="B532" s="611" t="s">
        <v>7144</v>
      </c>
      <c r="C532" s="570"/>
      <c r="D532" s="570"/>
      <c r="E532" s="570"/>
      <c r="F532" s="570"/>
      <c r="G532" s="570"/>
      <c r="H532" s="570"/>
      <c r="I532" s="570"/>
      <c r="J532" s="570"/>
      <c r="K532" s="570"/>
      <c r="L532" s="570"/>
      <c r="M532" s="570"/>
      <c r="N532" s="571"/>
      <c r="O532" s="570"/>
      <c r="P532" s="570">
        <f>40000*7</f>
        <v>280000</v>
      </c>
      <c r="Q532" s="570"/>
      <c r="R532" s="570"/>
    </row>
    <row r="533" spans="1:18" ht="15" x14ac:dyDescent="0.25">
      <c r="A533" s="459">
        <v>45236</v>
      </c>
      <c r="B533" s="572" t="s">
        <v>3224</v>
      </c>
      <c r="C533" s="570"/>
      <c r="D533" s="570"/>
      <c r="E533" s="570"/>
      <c r="F533" s="570">
        <f>650000+4000000</f>
        <v>4650000</v>
      </c>
      <c r="G533" s="570"/>
      <c r="H533" s="570"/>
      <c r="I533" s="570"/>
      <c r="J533" s="570"/>
      <c r="K533" s="570"/>
      <c r="L533" s="570"/>
      <c r="M533" s="570"/>
      <c r="N533" s="571"/>
      <c r="O533" s="570"/>
      <c r="P533" s="570"/>
      <c r="Q533" s="570"/>
      <c r="R533" s="570"/>
    </row>
    <row r="534" spans="1:18" ht="15" x14ac:dyDescent="0.25">
      <c r="A534" s="459"/>
      <c r="B534" s="572" t="s">
        <v>3212</v>
      </c>
      <c r="C534" s="570"/>
      <c r="D534" s="570"/>
      <c r="E534" s="570"/>
      <c r="F534" s="570"/>
      <c r="G534" s="570"/>
      <c r="H534" s="570">
        <v>150000</v>
      </c>
      <c r="I534" s="570"/>
      <c r="J534" s="570"/>
      <c r="K534" s="570"/>
      <c r="L534" s="570"/>
      <c r="M534" s="570"/>
      <c r="N534" s="571"/>
      <c r="O534" s="570"/>
      <c r="P534" s="570"/>
      <c r="Q534" s="570"/>
      <c r="R534" s="570"/>
    </row>
    <row r="535" spans="1:18" ht="15" x14ac:dyDescent="0.25">
      <c r="A535" s="459">
        <v>45237</v>
      </c>
      <c r="B535" s="572" t="s">
        <v>3210</v>
      </c>
      <c r="C535" s="570">
        <v>58700</v>
      </c>
      <c r="D535" s="570"/>
      <c r="E535" s="570"/>
      <c r="F535" s="570"/>
      <c r="G535" s="570"/>
      <c r="H535" s="570"/>
      <c r="I535" s="570"/>
      <c r="J535" s="570"/>
      <c r="K535" s="570"/>
      <c r="L535" s="570"/>
      <c r="M535" s="570"/>
      <c r="N535" s="571"/>
      <c r="O535" s="570"/>
      <c r="P535" s="570"/>
      <c r="Q535" s="570"/>
      <c r="R535" s="570"/>
    </row>
    <row r="536" spans="1:18" ht="15" x14ac:dyDescent="0.25">
      <c r="A536" s="459"/>
      <c r="B536" s="572" t="s">
        <v>3227</v>
      </c>
      <c r="C536" s="570"/>
      <c r="D536" s="570"/>
      <c r="E536" s="570">
        <v>45000</v>
      </c>
      <c r="F536" s="570"/>
      <c r="G536" s="570"/>
      <c r="H536" s="570"/>
      <c r="I536" s="570"/>
      <c r="J536" s="570"/>
      <c r="K536" s="570"/>
      <c r="L536" s="570"/>
      <c r="M536" s="570"/>
      <c r="N536" s="571"/>
      <c r="O536" s="570"/>
      <c r="P536" s="570"/>
      <c r="Q536" s="570"/>
      <c r="R536" s="570"/>
    </row>
    <row r="537" spans="1:18" ht="15" x14ac:dyDescent="0.25">
      <c r="A537" s="459"/>
      <c r="B537" s="572" t="s">
        <v>7469</v>
      </c>
      <c r="C537" s="570"/>
      <c r="D537" s="570"/>
      <c r="E537" s="570"/>
      <c r="F537" s="570"/>
      <c r="G537" s="570"/>
      <c r="H537" s="570"/>
      <c r="I537" s="570"/>
      <c r="J537" s="570"/>
      <c r="K537" s="570"/>
      <c r="L537" s="570"/>
      <c r="M537" s="570"/>
      <c r="N537" s="571"/>
      <c r="O537" s="570"/>
      <c r="P537" s="570"/>
      <c r="Q537" s="570"/>
      <c r="R537" s="570">
        <f>45000+75000</f>
        <v>120000</v>
      </c>
    </row>
    <row r="538" spans="1:18" ht="15" x14ac:dyDescent="0.25">
      <c r="A538" s="459"/>
      <c r="B538" s="572" t="s">
        <v>4139</v>
      </c>
      <c r="C538" s="570"/>
      <c r="D538" s="570"/>
      <c r="E538" s="570"/>
      <c r="F538" s="570"/>
      <c r="G538" s="570"/>
      <c r="H538" s="570">
        <v>200000</v>
      </c>
      <c r="I538" s="570"/>
      <c r="J538" s="570"/>
      <c r="K538" s="570"/>
      <c r="L538" s="570"/>
      <c r="M538" s="570"/>
      <c r="N538" s="571"/>
      <c r="O538" s="570"/>
      <c r="P538" s="570"/>
      <c r="Q538" s="570"/>
      <c r="R538" s="570"/>
    </row>
    <row r="539" spans="1:18" ht="15" x14ac:dyDescent="0.25">
      <c r="A539" s="459"/>
      <c r="B539" s="572" t="s">
        <v>3232</v>
      </c>
      <c r="C539" s="570"/>
      <c r="D539" s="570"/>
      <c r="E539" s="570">
        <v>34000</v>
      </c>
      <c r="F539" s="570"/>
      <c r="G539" s="570"/>
      <c r="H539" s="570"/>
      <c r="I539" s="570"/>
      <c r="J539" s="570"/>
      <c r="K539" s="570"/>
      <c r="L539" s="570"/>
      <c r="M539" s="570"/>
      <c r="N539" s="571"/>
      <c r="O539" s="570"/>
      <c r="P539" s="570"/>
      <c r="Q539" s="570"/>
      <c r="R539" s="570"/>
    </row>
    <row r="540" spans="1:18" ht="15" x14ac:dyDescent="0.25">
      <c r="A540" s="459">
        <v>45238</v>
      </c>
      <c r="B540" s="610" t="s">
        <v>3207</v>
      </c>
      <c r="C540" s="570"/>
      <c r="D540" s="570"/>
      <c r="E540" s="570"/>
      <c r="F540" s="570"/>
      <c r="G540" s="570"/>
      <c r="H540" s="570"/>
      <c r="I540" s="570"/>
      <c r="J540" s="570"/>
      <c r="K540" s="570">
        <v>81277</v>
      </c>
      <c r="L540" s="570"/>
      <c r="M540" s="570"/>
      <c r="N540" s="571"/>
      <c r="O540" s="570"/>
      <c r="P540" s="570"/>
      <c r="Q540" s="570"/>
      <c r="R540" s="570"/>
    </row>
    <row r="541" spans="1:18" ht="15" x14ac:dyDescent="0.25">
      <c r="A541" s="459"/>
      <c r="B541" s="721" t="s">
        <v>3208</v>
      </c>
      <c r="C541" s="570"/>
      <c r="D541" s="570"/>
      <c r="E541" s="570"/>
      <c r="F541" s="570"/>
      <c r="G541" s="570"/>
      <c r="H541" s="570"/>
      <c r="I541" s="570"/>
      <c r="J541" s="570"/>
      <c r="K541" s="570">
        <v>355200</v>
      </c>
      <c r="L541" s="570"/>
      <c r="M541" s="570"/>
      <c r="N541" s="571"/>
      <c r="O541" s="570"/>
      <c r="P541" s="570"/>
      <c r="Q541" s="570"/>
      <c r="R541" s="570"/>
    </row>
    <row r="542" spans="1:18" ht="15" x14ac:dyDescent="0.25">
      <c r="A542" s="459">
        <v>45239</v>
      </c>
      <c r="B542" s="569" t="s">
        <v>3218</v>
      </c>
      <c r="C542" s="570"/>
      <c r="D542" s="570"/>
      <c r="E542" s="570">
        <v>220000</v>
      </c>
      <c r="F542" s="570"/>
      <c r="G542" s="570"/>
      <c r="H542" s="570"/>
      <c r="I542" s="570"/>
      <c r="J542" s="570"/>
      <c r="K542" s="570"/>
      <c r="L542" s="570"/>
      <c r="M542" s="570"/>
      <c r="N542" s="571"/>
      <c r="O542" s="570"/>
      <c r="P542" s="570"/>
      <c r="Q542" s="570"/>
      <c r="R542" s="570"/>
    </row>
    <row r="543" spans="1:18" ht="15" x14ac:dyDescent="0.25">
      <c r="A543" s="459">
        <v>45241</v>
      </c>
      <c r="B543" s="572" t="s">
        <v>7470</v>
      </c>
      <c r="C543" s="570"/>
      <c r="D543" s="570"/>
      <c r="E543" s="570"/>
      <c r="F543" s="570"/>
      <c r="G543" s="570"/>
      <c r="H543" s="570"/>
      <c r="I543" s="570">
        <v>313631</v>
      </c>
      <c r="J543" s="570"/>
      <c r="K543" s="570"/>
      <c r="L543" s="570"/>
      <c r="M543" s="570"/>
      <c r="N543" s="571"/>
      <c r="O543" s="570"/>
      <c r="P543" s="570"/>
      <c r="Q543" s="570"/>
      <c r="R543" s="570"/>
    </row>
    <row r="544" spans="1:18" ht="15" x14ac:dyDescent="0.25">
      <c r="A544" s="459"/>
      <c r="B544" s="572" t="s">
        <v>7471</v>
      </c>
      <c r="C544" s="570"/>
      <c r="D544" s="570"/>
      <c r="E544" s="570"/>
      <c r="F544" s="570"/>
      <c r="G544" s="570"/>
      <c r="H544" s="570"/>
      <c r="I544" s="570">
        <v>1000000</v>
      </c>
      <c r="J544" s="570"/>
      <c r="K544" s="570"/>
      <c r="L544" s="570"/>
      <c r="M544" s="570"/>
      <c r="N544" s="571"/>
      <c r="O544" s="570"/>
      <c r="P544" s="570"/>
      <c r="Q544" s="570"/>
      <c r="R544" s="570"/>
    </row>
    <row r="545" spans="1:18" ht="28.5" x14ac:dyDescent="0.25">
      <c r="A545" s="459"/>
      <c r="B545" s="611" t="s">
        <v>7145</v>
      </c>
      <c r="C545" s="570"/>
      <c r="D545" s="570"/>
      <c r="E545" s="570"/>
      <c r="F545" s="570"/>
      <c r="G545" s="570"/>
      <c r="H545" s="570"/>
      <c r="I545" s="570"/>
      <c r="J545" s="570"/>
      <c r="K545" s="570"/>
      <c r="L545" s="570"/>
      <c r="M545" s="570"/>
      <c r="N545" s="571"/>
      <c r="O545" s="570"/>
      <c r="P545" s="570">
        <f>40000*7</f>
        <v>280000</v>
      </c>
      <c r="Q545" s="570"/>
      <c r="R545" s="570"/>
    </row>
    <row r="546" spans="1:18" ht="15" x14ac:dyDescent="0.25">
      <c r="A546" s="459">
        <v>45243</v>
      </c>
      <c r="B546" s="572" t="s">
        <v>3210</v>
      </c>
      <c r="C546" s="570">
        <v>58700</v>
      </c>
      <c r="D546" s="570"/>
      <c r="E546" s="570"/>
      <c r="F546" s="570"/>
      <c r="G546" s="570"/>
      <c r="H546" s="570"/>
      <c r="I546" s="570"/>
      <c r="J546" s="570"/>
      <c r="K546" s="570"/>
      <c r="L546" s="570"/>
      <c r="M546" s="570"/>
      <c r="N546" s="571"/>
      <c r="O546" s="570"/>
      <c r="P546" s="570"/>
      <c r="Q546" s="570"/>
      <c r="R546" s="570"/>
    </row>
    <row r="547" spans="1:18" ht="15" x14ac:dyDescent="0.25">
      <c r="A547" s="459"/>
      <c r="B547" s="572" t="s">
        <v>7472</v>
      </c>
      <c r="C547" s="570"/>
      <c r="D547" s="570"/>
      <c r="E547" s="570"/>
      <c r="F547" s="570"/>
      <c r="G547" s="570"/>
      <c r="H547" s="570"/>
      <c r="I547" s="570"/>
      <c r="J547" s="570"/>
      <c r="K547" s="570"/>
      <c r="L547" s="570"/>
      <c r="M547" s="570"/>
      <c r="N547" s="571"/>
      <c r="O547" s="570"/>
      <c r="P547" s="570"/>
      <c r="Q547" s="570"/>
      <c r="R547" s="570">
        <v>50000</v>
      </c>
    </row>
    <row r="548" spans="1:18" ht="15" x14ac:dyDescent="0.25">
      <c r="A548" s="459"/>
      <c r="B548" s="572" t="s">
        <v>7473</v>
      </c>
      <c r="C548" s="570"/>
      <c r="D548" s="570"/>
      <c r="E548" s="570"/>
      <c r="F548" s="570"/>
      <c r="G548" s="570"/>
      <c r="H548" s="570">
        <v>250000</v>
      </c>
      <c r="I548" s="570"/>
      <c r="J548" s="570"/>
      <c r="K548" s="570"/>
      <c r="L548" s="570"/>
      <c r="M548" s="570"/>
      <c r="N548" s="571"/>
      <c r="O548" s="570"/>
      <c r="P548" s="570"/>
      <c r="Q548" s="570"/>
      <c r="R548" s="570"/>
    </row>
    <row r="549" spans="1:18" ht="15" x14ac:dyDescent="0.25">
      <c r="A549" s="459">
        <v>45244</v>
      </c>
      <c r="B549" s="572" t="s">
        <v>3225</v>
      </c>
      <c r="C549" s="570"/>
      <c r="D549" s="570"/>
      <c r="E549" s="570"/>
      <c r="F549" s="570"/>
      <c r="G549" s="570">
        <v>240000</v>
      </c>
      <c r="H549" s="570"/>
      <c r="I549" s="570"/>
      <c r="J549" s="570"/>
      <c r="K549" s="570"/>
      <c r="L549" s="570"/>
      <c r="M549" s="570"/>
      <c r="N549" s="571"/>
      <c r="O549" s="570"/>
      <c r="P549" s="570"/>
      <c r="Q549" s="570"/>
      <c r="R549" s="570"/>
    </row>
    <row r="550" spans="1:18" ht="15" x14ac:dyDescent="0.25">
      <c r="A550" s="459">
        <v>45245</v>
      </c>
      <c r="B550" s="572" t="s">
        <v>7474</v>
      </c>
      <c r="C550" s="570"/>
      <c r="D550" s="570"/>
      <c r="E550" s="570"/>
      <c r="F550" s="570"/>
      <c r="G550" s="570"/>
      <c r="H550" s="570">
        <v>67000</v>
      </c>
      <c r="I550" s="570"/>
      <c r="J550" s="570"/>
      <c r="K550" s="570"/>
      <c r="L550" s="570"/>
      <c r="M550" s="570"/>
      <c r="N550" s="571"/>
      <c r="O550" s="570"/>
      <c r="P550" s="570"/>
      <c r="Q550" s="570"/>
      <c r="R550" s="570"/>
    </row>
    <row r="551" spans="1:18" ht="28.5" x14ac:dyDescent="0.25">
      <c r="A551" s="459">
        <v>45248</v>
      </c>
      <c r="B551" s="610" t="s">
        <v>7146</v>
      </c>
      <c r="C551" s="570"/>
      <c r="D551" s="570"/>
      <c r="E551" s="570"/>
      <c r="F551" s="570"/>
      <c r="G551" s="570"/>
      <c r="H551" s="570"/>
      <c r="I551" s="570"/>
      <c r="J551" s="570"/>
      <c r="K551" s="570"/>
      <c r="L551" s="570"/>
      <c r="M551" s="570"/>
      <c r="N551" s="571"/>
      <c r="O551" s="570">
        <v>5710000</v>
      </c>
      <c r="P551" s="570"/>
      <c r="Q551" s="570"/>
      <c r="R551" s="570"/>
    </row>
    <row r="552" spans="1:18" ht="28.5" x14ac:dyDescent="0.25">
      <c r="A552" s="459"/>
      <c r="B552" s="611" t="s">
        <v>7147</v>
      </c>
      <c r="C552" s="570"/>
      <c r="D552" s="570"/>
      <c r="E552" s="570"/>
      <c r="F552" s="570"/>
      <c r="G552" s="570"/>
      <c r="H552" s="570"/>
      <c r="I552" s="570"/>
      <c r="J552" s="570"/>
      <c r="K552" s="570"/>
      <c r="L552" s="570"/>
      <c r="M552" s="570"/>
      <c r="N552" s="571"/>
      <c r="O552" s="570"/>
      <c r="P552" s="570">
        <f>40000*9</f>
        <v>360000</v>
      </c>
      <c r="Q552" s="570"/>
      <c r="R552" s="570"/>
    </row>
    <row r="553" spans="1:18" ht="15" x14ac:dyDescent="0.25">
      <c r="A553" s="459">
        <v>45250</v>
      </c>
      <c r="B553" s="572" t="s">
        <v>3210</v>
      </c>
      <c r="C553" s="570">
        <v>57500</v>
      </c>
      <c r="D553" s="570"/>
      <c r="E553" s="570"/>
      <c r="F553" s="570"/>
      <c r="G553" s="570"/>
      <c r="H553" s="570"/>
      <c r="I553" s="570"/>
      <c r="J553" s="570"/>
      <c r="K553" s="570"/>
      <c r="L553" s="570"/>
      <c r="M553" s="570"/>
      <c r="N553" s="571"/>
      <c r="O553" s="570"/>
      <c r="P553" s="570"/>
      <c r="Q553" s="570"/>
      <c r="R553" s="570"/>
    </row>
    <row r="554" spans="1:18" ht="15" x14ac:dyDescent="0.25">
      <c r="A554" s="459"/>
      <c r="B554" s="572" t="s">
        <v>7475</v>
      </c>
      <c r="C554" s="570"/>
      <c r="D554" s="570"/>
      <c r="E554" s="570"/>
      <c r="F554" s="570"/>
      <c r="G554" s="570"/>
      <c r="H554" s="570"/>
      <c r="I554" s="570">
        <v>225000</v>
      </c>
      <c r="J554" s="570"/>
      <c r="K554" s="570"/>
      <c r="L554" s="570"/>
      <c r="M554" s="570"/>
      <c r="N554" s="571"/>
      <c r="O554" s="570"/>
      <c r="P554" s="570"/>
      <c r="Q554" s="570"/>
      <c r="R554" s="570"/>
    </row>
    <row r="555" spans="1:18" ht="15" x14ac:dyDescent="0.25">
      <c r="A555" s="459">
        <v>45251</v>
      </c>
      <c r="B555" s="569" t="s">
        <v>4758</v>
      </c>
      <c r="C555" s="570"/>
      <c r="D555" s="570"/>
      <c r="E555" s="570"/>
      <c r="F555" s="570"/>
      <c r="G555" s="570">
        <v>200000</v>
      </c>
      <c r="H555" s="570"/>
      <c r="I555" s="570"/>
      <c r="J555" s="570"/>
      <c r="K555" s="570"/>
      <c r="L555" s="570"/>
      <c r="M555" s="570"/>
      <c r="N555" s="571"/>
      <c r="O555" s="570"/>
      <c r="P555" s="570"/>
      <c r="Q555" s="570"/>
      <c r="R555" s="570"/>
    </row>
    <row r="556" spans="1:18" ht="15" x14ac:dyDescent="0.25">
      <c r="A556" s="459">
        <v>45253</v>
      </c>
      <c r="B556" s="572" t="s">
        <v>3213</v>
      </c>
      <c r="C556" s="570"/>
      <c r="D556" s="570"/>
      <c r="E556" s="570"/>
      <c r="F556" s="570">
        <v>1038000</v>
      </c>
      <c r="G556" s="570"/>
      <c r="H556" s="570"/>
      <c r="I556" s="570"/>
      <c r="J556" s="570"/>
      <c r="K556" s="570"/>
      <c r="L556" s="570"/>
      <c r="M556" s="570"/>
      <c r="N556" s="571"/>
      <c r="O556" s="570"/>
      <c r="P556" s="570"/>
      <c r="Q556" s="570"/>
      <c r="R556" s="570"/>
    </row>
    <row r="557" spans="1:18" ht="15" x14ac:dyDescent="0.25">
      <c r="A557" s="459">
        <v>45254</v>
      </c>
      <c r="B557" s="572" t="s">
        <v>3224</v>
      </c>
      <c r="C557" s="570"/>
      <c r="D557" s="570"/>
      <c r="E557" s="570"/>
      <c r="F557" s="570">
        <v>4000000</v>
      </c>
      <c r="G557" s="570"/>
      <c r="H557" s="570"/>
      <c r="I557" s="570"/>
      <c r="J557" s="570"/>
      <c r="K557" s="570"/>
      <c r="L557" s="570"/>
      <c r="M557" s="570"/>
      <c r="N557" s="571"/>
      <c r="O557" s="570"/>
      <c r="P557" s="570"/>
      <c r="Q557" s="570"/>
      <c r="R557" s="570"/>
    </row>
    <row r="558" spans="1:18" ht="15" x14ac:dyDescent="0.25">
      <c r="A558" s="459">
        <v>45255</v>
      </c>
      <c r="B558" s="572" t="s">
        <v>7470</v>
      </c>
      <c r="C558" s="570"/>
      <c r="D558" s="570"/>
      <c r="E558" s="570"/>
      <c r="F558" s="570"/>
      <c r="G558" s="570"/>
      <c r="H558" s="570"/>
      <c r="I558" s="570">
        <v>1128780</v>
      </c>
      <c r="J558" s="570"/>
      <c r="K558" s="570"/>
      <c r="L558" s="570"/>
      <c r="M558" s="570"/>
      <c r="N558" s="571"/>
      <c r="O558" s="570"/>
      <c r="P558" s="570"/>
      <c r="Q558" s="570"/>
      <c r="R558" s="570"/>
    </row>
    <row r="559" spans="1:18" ht="15" x14ac:dyDescent="0.25">
      <c r="A559" s="459"/>
      <c r="B559" s="720" t="s">
        <v>7476</v>
      </c>
      <c r="C559" s="570"/>
      <c r="D559" s="570"/>
      <c r="E559" s="570"/>
      <c r="F559" s="570"/>
      <c r="G559" s="570"/>
      <c r="H559" s="570"/>
      <c r="I559" s="570"/>
      <c r="J559" s="570"/>
      <c r="K559" s="570"/>
      <c r="L559" s="570">
        <f>2879500/2</f>
        <v>1439750</v>
      </c>
      <c r="M559" s="570"/>
      <c r="N559" s="571"/>
      <c r="O559" s="570"/>
      <c r="P559" s="570"/>
      <c r="Q559" s="570"/>
      <c r="R559" s="570"/>
    </row>
    <row r="560" spans="1:18" ht="15" x14ac:dyDescent="0.25">
      <c r="A560" s="459"/>
      <c r="B560" s="720" t="s">
        <v>7477</v>
      </c>
      <c r="C560" s="570"/>
      <c r="D560" s="570"/>
      <c r="E560" s="570"/>
      <c r="F560" s="570"/>
      <c r="G560" s="570"/>
      <c r="H560" s="570"/>
      <c r="I560" s="570"/>
      <c r="J560" s="570"/>
      <c r="K560" s="570"/>
      <c r="L560" s="570">
        <f>3164000/2</f>
        <v>1582000</v>
      </c>
      <c r="M560" s="570"/>
      <c r="N560" s="571"/>
      <c r="O560" s="570"/>
      <c r="P560" s="570"/>
      <c r="Q560" s="570"/>
      <c r="R560" s="570"/>
    </row>
    <row r="561" spans="1:18" ht="15" x14ac:dyDescent="0.25">
      <c r="A561" s="459"/>
      <c r="B561" s="720" t="s">
        <v>7478</v>
      </c>
      <c r="C561" s="570"/>
      <c r="D561" s="570"/>
      <c r="E561" s="570"/>
      <c r="F561" s="570"/>
      <c r="G561" s="570"/>
      <c r="H561" s="570"/>
      <c r="I561" s="570"/>
      <c r="J561" s="570"/>
      <c r="K561" s="570"/>
      <c r="L561" s="570">
        <f>3705000/2</f>
        <v>1852500</v>
      </c>
      <c r="M561" s="570"/>
      <c r="N561" s="571"/>
      <c r="O561" s="570"/>
      <c r="P561" s="570"/>
      <c r="Q561" s="570"/>
      <c r="R561" s="570"/>
    </row>
    <row r="562" spans="1:18" ht="15" x14ac:dyDescent="0.25">
      <c r="A562" s="459"/>
      <c r="B562" s="720" t="s">
        <v>7479</v>
      </c>
      <c r="C562" s="570"/>
      <c r="D562" s="570"/>
      <c r="E562" s="570"/>
      <c r="F562" s="570"/>
      <c r="G562" s="570"/>
      <c r="H562" s="570"/>
      <c r="I562" s="570"/>
      <c r="J562" s="570"/>
      <c r="K562" s="570"/>
      <c r="L562" s="570">
        <f>2393000/2</f>
        <v>1196500</v>
      </c>
      <c r="M562" s="570"/>
      <c r="N562" s="571"/>
      <c r="O562" s="570"/>
      <c r="P562" s="570"/>
      <c r="Q562" s="570"/>
      <c r="R562" s="570"/>
    </row>
    <row r="563" spans="1:18" ht="15" x14ac:dyDescent="0.25">
      <c r="A563" s="459"/>
      <c r="B563" s="720" t="s">
        <v>7480</v>
      </c>
      <c r="C563" s="570"/>
      <c r="D563" s="570"/>
      <c r="E563" s="570"/>
      <c r="F563" s="570"/>
      <c r="G563" s="570"/>
      <c r="H563" s="570"/>
      <c r="I563" s="570"/>
      <c r="J563" s="570"/>
      <c r="K563" s="570"/>
      <c r="L563" s="570">
        <f>3445500/2</f>
        <v>1722750</v>
      </c>
      <c r="M563" s="570"/>
      <c r="N563" s="571"/>
      <c r="O563" s="570"/>
      <c r="P563" s="570"/>
      <c r="Q563" s="570"/>
      <c r="R563" s="570"/>
    </row>
    <row r="564" spans="1:18" ht="28.5" x14ac:dyDescent="0.25">
      <c r="A564" s="459"/>
      <c r="B564" s="611" t="s">
        <v>7148</v>
      </c>
      <c r="C564" s="570"/>
      <c r="D564" s="570"/>
      <c r="E564" s="570"/>
      <c r="F564" s="570"/>
      <c r="G564" s="570"/>
      <c r="H564" s="570"/>
      <c r="I564" s="570"/>
      <c r="J564" s="570"/>
      <c r="K564" s="570"/>
      <c r="L564" s="570"/>
      <c r="M564" s="570"/>
      <c r="N564" s="571"/>
      <c r="O564" s="570"/>
      <c r="P564" s="570">
        <f>40000*9</f>
        <v>360000</v>
      </c>
      <c r="Q564" s="570"/>
      <c r="R564" s="570"/>
    </row>
    <row r="565" spans="1:18" ht="15" x14ac:dyDescent="0.25">
      <c r="A565" s="459">
        <v>45257</v>
      </c>
      <c r="B565" s="572" t="s">
        <v>3237</v>
      </c>
      <c r="C565" s="570"/>
      <c r="D565" s="570"/>
      <c r="E565" s="570"/>
      <c r="F565" s="570"/>
      <c r="G565" s="570"/>
      <c r="H565" s="570"/>
      <c r="I565" s="570"/>
      <c r="J565" s="570">
        <v>1002500</v>
      </c>
      <c r="K565" s="570"/>
      <c r="L565" s="570"/>
      <c r="M565" s="570"/>
      <c r="N565" s="571"/>
      <c r="O565" s="570"/>
      <c r="P565" s="570"/>
      <c r="Q565" s="570"/>
      <c r="R565" s="570"/>
    </row>
    <row r="566" spans="1:18" ht="15" x14ac:dyDescent="0.25">
      <c r="A566" s="459">
        <v>45260</v>
      </c>
      <c r="B566" s="610" t="s">
        <v>2625</v>
      </c>
      <c r="C566" s="570"/>
      <c r="D566" s="570"/>
      <c r="E566" s="570"/>
      <c r="F566" s="570"/>
      <c r="G566" s="570"/>
      <c r="H566" s="570"/>
      <c r="I566" s="570"/>
      <c r="J566" s="570"/>
      <c r="K566" s="570"/>
      <c r="L566" s="570"/>
      <c r="M566" s="570"/>
      <c r="N566" s="571"/>
      <c r="O566" s="570">
        <v>19380000</v>
      </c>
      <c r="P566" s="570"/>
      <c r="Q566" s="570"/>
      <c r="R566" s="570"/>
    </row>
    <row r="567" spans="1:18" ht="15" x14ac:dyDescent="0.25">
      <c r="A567" s="459"/>
      <c r="B567" s="610" t="s">
        <v>2626</v>
      </c>
      <c r="C567" s="570"/>
      <c r="D567" s="570"/>
      <c r="E567" s="570"/>
      <c r="F567" s="570"/>
      <c r="G567" s="570"/>
      <c r="H567" s="570"/>
      <c r="I567" s="570"/>
      <c r="J567" s="570"/>
      <c r="K567" s="570"/>
      <c r="L567" s="570"/>
      <c r="M567" s="570">
        <v>5400000</v>
      </c>
      <c r="N567" s="571"/>
      <c r="O567" s="570"/>
      <c r="P567" s="570"/>
      <c r="Q567" s="570"/>
      <c r="R567" s="570"/>
    </row>
    <row r="568" spans="1:18" ht="15" x14ac:dyDescent="0.25">
      <c r="A568" s="459"/>
      <c r="B568" s="610" t="s">
        <v>2627</v>
      </c>
      <c r="C568" s="570"/>
      <c r="D568" s="570"/>
      <c r="E568" s="570"/>
      <c r="F568" s="570"/>
      <c r="G568" s="570"/>
      <c r="H568" s="570"/>
      <c r="I568" s="570"/>
      <c r="J568" s="570"/>
      <c r="K568" s="570"/>
      <c r="L568" s="570"/>
      <c r="M568" s="570"/>
      <c r="N568" s="571"/>
      <c r="O568" s="570"/>
      <c r="P568" s="570">
        <v>1200000</v>
      </c>
      <c r="Q568" s="570"/>
      <c r="R568" s="570"/>
    </row>
    <row r="569" spans="1:18" ht="16.5" x14ac:dyDescent="0.25">
      <c r="A569" s="462"/>
      <c r="B569" s="577" t="s">
        <v>38</v>
      </c>
      <c r="C569" s="578">
        <f t="shared" ref="C569:R569" si="10">SUM(C526:C568)</f>
        <v>624900</v>
      </c>
      <c r="D569" s="578">
        <f t="shared" si="10"/>
        <v>0</v>
      </c>
      <c r="E569" s="578">
        <f t="shared" si="10"/>
        <v>299000</v>
      </c>
      <c r="F569" s="578">
        <f t="shared" si="10"/>
        <v>9688000</v>
      </c>
      <c r="G569" s="578">
        <f t="shared" si="10"/>
        <v>440000</v>
      </c>
      <c r="H569" s="578">
        <f t="shared" si="10"/>
        <v>1117000</v>
      </c>
      <c r="I569" s="578">
        <f t="shared" si="10"/>
        <v>2667411</v>
      </c>
      <c r="J569" s="578">
        <f t="shared" si="10"/>
        <v>1002500</v>
      </c>
      <c r="K569" s="578">
        <f t="shared" si="10"/>
        <v>436477</v>
      </c>
      <c r="L569" s="578">
        <f t="shared" si="10"/>
        <v>7793500</v>
      </c>
      <c r="M569" s="578">
        <f t="shared" si="10"/>
        <v>5400000</v>
      </c>
      <c r="N569" s="578">
        <f t="shared" si="10"/>
        <v>1995821</v>
      </c>
      <c r="O569" s="578">
        <f t="shared" si="10"/>
        <v>31460000</v>
      </c>
      <c r="P569" s="578">
        <f t="shared" si="10"/>
        <v>2480000</v>
      </c>
      <c r="Q569" s="578">
        <f t="shared" si="10"/>
        <v>0</v>
      </c>
      <c r="R569" s="578">
        <f t="shared" si="10"/>
        <v>170000</v>
      </c>
    </row>
    <row r="570" spans="1:18" ht="16.5" x14ac:dyDescent="0.25">
      <c r="A570" s="461" t="s">
        <v>2560</v>
      </c>
      <c r="B570" s="579"/>
      <c r="C570" s="580"/>
      <c r="D570" s="580"/>
      <c r="E570" s="580"/>
      <c r="F570" s="580"/>
      <c r="G570" s="580"/>
      <c r="H570" s="580"/>
      <c r="I570" s="580"/>
      <c r="J570" s="580"/>
      <c r="K570" s="580"/>
      <c r="L570" s="580"/>
      <c r="M570" s="580"/>
      <c r="N570" s="581"/>
      <c r="O570" s="580"/>
      <c r="P570" s="580"/>
      <c r="Q570" s="582"/>
      <c r="R570" s="582"/>
    </row>
    <row r="571" spans="1:18" ht="15" x14ac:dyDescent="0.25">
      <c r="A571" s="458">
        <v>45261</v>
      </c>
      <c r="B571" s="585"/>
      <c r="C571" s="570"/>
      <c r="D571" s="570"/>
      <c r="E571" s="570"/>
      <c r="F571" s="570"/>
      <c r="G571" s="570"/>
      <c r="H571" s="570"/>
      <c r="I571" s="570"/>
      <c r="J571" s="570"/>
      <c r="K571" s="570"/>
      <c r="L571" s="570"/>
      <c r="M571" s="570"/>
      <c r="N571" s="571"/>
      <c r="O571" s="570"/>
      <c r="P571" s="570"/>
      <c r="Q571" s="570"/>
      <c r="R571" s="570"/>
    </row>
    <row r="572" spans="1:18" ht="15" x14ac:dyDescent="0.25">
      <c r="A572" s="459">
        <v>45262</v>
      </c>
      <c r="B572" s="720" t="s">
        <v>7481</v>
      </c>
      <c r="C572" s="570"/>
      <c r="D572" s="570"/>
      <c r="E572" s="570"/>
      <c r="F572" s="570"/>
      <c r="G572" s="570"/>
      <c r="H572" s="570"/>
      <c r="I572" s="570"/>
      <c r="J572" s="570"/>
      <c r="K572" s="570"/>
      <c r="L572" s="570">
        <f>2746000/2</f>
        <v>1373000</v>
      </c>
      <c r="M572" s="570"/>
      <c r="N572" s="571"/>
      <c r="O572" s="570"/>
      <c r="P572" s="570"/>
      <c r="Q572" s="570"/>
      <c r="R572" s="570"/>
    </row>
    <row r="573" spans="1:18" ht="28.5" x14ac:dyDescent="0.25">
      <c r="A573" s="459"/>
      <c r="B573" s="610" t="s">
        <v>7535</v>
      </c>
      <c r="C573" s="570"/>
      <c r="D573" s="570"/>
      <c r="E573" s="570"/>
      <c r="F573" s="570"/>
      <c r="G573" s="570"/>
      <c r="H573" s="570"/>
      <c r="I573" s="570"/>
      <c r="J573" s="570"/>
      <c r="K573" s="570"/>
      <c r="L573" s="570"/>
      <c r="M573" s="570"/>
      <c r="N573" s="571"/>
      <c r="O573" s="183">
        <f>(110000*(12-1))+(110000*12)+(110000*12)+(110000*12)+(110000*12)</f>
        <v>6490000</v>
      </c>
      <c r="P573" s="570"/>
      <c r="Q573" s="570"/>
      <c r="R573" s="570"/>
    </row>
    <row r="574" spans="1:18" ht="28.5" x14ac:dyDescent="0.25">
      <c r="A574" s="459"/>
      <c r="B574" s="611" t="s">
        <v>7536</v>
      </c>
      <c r="C574" s="570"/>
      <c r="D574" s="570"/>
      <c r="E574" s="570"/>
      <c r="F574" s="570"/>
      <c r="G574" s="570"/>
      <c r="H574" s="570"/>
      <c r="I574" s="570"/>
      <c r="J574" s="570"/>
      <c r="K574" s="570"/>
      <c r="L574" s="570"/>
      <c r="M574" s="570"/>
      <c r="N574" s="571"/>
      <c r="O574" s="570"/>
      <c r="P574" s="570">
        <f>40000*10</f>
        <v>400000</v>
      </c>
      <c r="Q574" s="570"/>
      <c r="R574" s="570"/>
    </row>
    <row r="575" spans="1:18" ht="15" x14ac:dyDescent="0.25">
      <c r="A575" s="459">
        <v>45263</v>
      </c>
      <c r="B575" s="572" t="s">
        <v>7537</v>
      </c>
      <c r="C575" s="570"/>
      <c r="D575" s="570"/>
      <c r="E575" s="570"/>
      <c r="F575" s="570"/>
      <c r="G575" s="570"/>
      <c r="H575" s="570"/>
      <c r="I575" s="570"/>
      <c r="J575" s="570"/>
      <c r="K575" s="570"/>
      <c r="L575" s="570"/>
      <c r="M575" s="570"/>
      <c r="N575" s="714">
        <v>1995821</v>
      </c>
      <c r="O575" s="570"/>
      <c r="P575" s="570"/>
      <c r="Q575" s="570"/>
      <c r="R575" s="570"/>
    </row>
    <row r="576" spans="1:18" ht="15" x14ac:dyDescent="0.25">
      <c r="A576" s="459">
        <v>45264</v>
      </c>
      <c r="B576" s="572"/>
      <c r="C576" s="570"/>
      <c r="D576" s="570"/>
      <c r="E576" s="570"/>
      <c r="F576" s="570"/>
      <c r="G576" s="570"/>
      <c r="H576" s="570"/>
      <c r="I576" s="570"/>
      <c r="J576" s="570"/>
      <c r="K576" s="570"/>
      <c r="L576" s="570"/>
      <c r="M576" s="570"/>
      <c r="N576" s="571"/>
      <c r="O576" s="570"/>
      <c r="P576" s="570"/>
      <c r="Q576" s="570"/>
      <c r="R576" s="570"/>
    </row>
    <row r="577" spans="1:18" ht="15" x14ac:dyDescent="0.25">
      <c r="A577" s="459">
        <v>45265</v>
      </c>
      <c r="B577" s="572"/>
      <c r="C577" s="570"/>
      <c r="D577" s="570"/>
      <c r="E577" s="570"/>
      <c r="F577" s="570"/>
      <c r="G577" s="570"/>
      <c r="H577" s="570"/>
      <c r="I577" s="570"/>
      <c r="J577" s="570"/>
      <c r="K577" s="570"/>
      <c r="L577" s="570"/>
      <c r="M577" s="570"/>
      <c r="N577" s="571"/>
      <c r="O577" s="570"/>
      <c r="P577" s="570"/>
      <c r="Q577" s="570"/>
      <c r="R577" s="570"/>
    </row>
    <row r="578" spans="1:18" ht="15" x14ac:dyDescent="0.25">
      <c r="A578" s="459">
        <v>45266</v>
      </c>
      <c r="B578" s="572"/>
      <c r="C578" s="570"/>
      <c r="D578" s="570"/>
      <c r="E578" s="570"/>
      <c r="F578" s="570"/>
      <c r="G578" s="570"/>
      <c r="H578" s="570"/>
      <c r="I578" s="570"/>
      <c r="J578" s="570"/>
      <c r="K578" s="570"/>
      <c r="L578" s="570"/>
      <c r="M578" s="570"/>
      <c r="N578" s="571"/>
      <c r="O578" s="570"/>
      <c r="P578" s="570"/>
      <c r="Q578" s="570"/>
      <c r="R578" s="570"/>
    </row>
    <row r="579" spans="1:18" ht="15" x14ac:dyDescent="0.25">
      <c r="A579" s="459">
        <v>45267</v>
      </c>
      <c r="B579" s="569"/>
      <c r="C579" s="570"/>
      <c r="D579" s="570"/>
      <c r="E579" s="570"/>
      <c r="F579" s="570"/>
      <c r="G579" s="570"/>
      <c r="H579" s="570"/>
      <c r="I579" s="570"/>
      <c r="J579" s="570"/>
      <c r="K579" s="570"/>
      <c r="L579" s="570"/>
      <c r="M579" s="570"/>
      <c r="N579" s="571"/>
      <c r="O579" s="570"/>
      <c r="P579" s="570"/>
      <c r="Q579" s="570"/>
      <c r="R579" s="570"/>
    </row>
    <row r="580" spans="1:18" ht="15" x14ac:dyDescent="0.25">
      <c r="A580" s="459">
        <v>45268</v>
      </c>
      <c r="B580" s="572"/>
      <c r="C580" s="570"/>
      <c r="D580" s="570"/>
      <c r="E580" s="570"/>
      <c r="F580" s="570"/>
      <c r="G580" s="570"/>
      <c r="H580" s="570"/>
      <c r="I580" s="570"/>
      <c r="J580" s="570"/>
      <c r="K580" s="570"/>
      <c r="L580" s="570"/>
      <c r="M580" s="570"/>
      <c r="N580" s="571"/>
      <c r="O580" s="570"/>
      <c r="P580" s="570"/>
      <c r="Q580" s="570"/>
      <c r="R580" s="570"/>
    </row>
    <row r="581" spans="1:18" ht="28.5" x14ac:dyDescent="0.25">
      <c r="A581" s="459">
        <v>45269</v>
      </c>
      <c r="B581" s="611" t="s">
        <v>7538</v>
      </c>
      <c r="C581" s="570"/>
      <c r="D581" s="570"/>
      <c r="E581" s="570"/>
      <c r="F581" s="570"/>
      <c r="G581" s="570"/>
      <c r="H581" s="570"/>
      <c r="I581" s="570"/>
      <c r="J581" s="570"/>
      <c r="K581" s="570"/>
      <c r="L581" s="570"/>
      <c r="M581" s="570"/>
      <c r="N581" s="571"/>
      <c r="O581" s="570"/>
      <c r="P581" s="570">
        <f>40000*10</f>
        <v>400000</v>
      </c>
      <c r="Q581" s="570"/>
      <c r="R581" s="570"/>
    </row>
    <row r="582" spans="1:18" ht="15" x14ac:dyDescent="0.25">
      <c r="A582" s="459">
        <v>45270</v>
      </c>
      <c r="B582" s="572"/>
      <c r="C582" s="570"/>
      <c r="D582" s="570"/>
      <c r="E582" s="570"/>
      <c r="F582" s="570"/>
      <c r="G582" s="570"/>
      <c r="H582" s="570"/>
      <c r="I582" s="570"/>
      <c r="J582" s="570"/>
      <c r="K582" s="570"/>
      <c r="L582" s="570"/>
      <c r="M582" s="570"/>
      <c r="N582" s="571"/>
      <c r="O582" s="570"/>
      <c r="P582" s="570"/>
      <c r="Q582" s="570"/>
      <c r="R582" s="570"/>
    </row>
    <row r="583" spans="1:18" ht="15" x14ac:dyDescent="0.25">
      <c r="A583" s="459">
        <v>45271</v>
      </c>
      <c r="B583" s="572"/>
      <c r="C583" s="570"/>
      <c r="D583" s="570"/>
      <c r="E583" s="570"/>
      <c r="F583" s="570"/>
      <c r="G583" s="570"/>
      <c r="H583" s="570"/>
      <c r="I583" s="570"/>
      <c r="J583" s="570"/>
      <c r="K583" s="570"/>
      <c r="L583" s="570"/>
      <c r="M583" s="570"/>
      <c r="N583" s="571"/>
      <c r="O583" s="570"/>
      <c r="P583" s="570"/>
      <c r="Q583" s="570"/>
      <c r="R583" s="570"/>
    </row>
    <row r="584" spans="1:18" ht="15" x14ac:dyDescent="0.25">
      <c r="A584" s="459">
        <v>45272</v>
      </c>
      <c r="B584" s="572"/>
      <c r="C584" s="570"/>
      <c r="D584" s="570"/>
      <c r="E584" s="570"/>
      <c r="F584" s="570"/>
      <c r="G584" s="570"/>
      <c r="H584" s="570"/>
      <c r="I584" s="570"/>
      <c r="J584" s="570"/>
      <c r="K584" s="570"/>
      <c r="L584" s="570"/>
      <c r="M584" s="570"/>
      <c r="N584" s="571"/>
      <c r="O584" s="570"/>
      <c r="P584" s="570"/>
      <c r="Q584" s="570"/>
      <c r="R584" s="570"/>
    </row>
    <row r="585" spans="1:18" ht="15" x14ac:dyDescent="0.25">
      <c r="A585" s="459">
        <v>45273</v>
      </c>
      <c r="B585" s="572"/>
      <c r="C585" s="570"/>
      <c r="D585" s="570"/>
      <c r="E585" s="570"/>
      <c r="F585" s="570"/>
      <c r="G585" s="570"/>
      <c r="H585" s="570"/>
      <c r="I585" s="570"/>
      <c r="J585" s="570"/>
      <c r="K585" s="570"/>
      <c r="L585" s="570"/>
      <c r="M585" s="570"/>
      <c r="N585" s="571"/>
      <c r="O585" s="570"/>
      <c r="P585" s="570"/>
      <c r="Q585" s="570"/>
      <c r="R585" s="570"/>
    </row>
    <row r="586" spans="1:18" ht="15" x14ac:dyDescent="0.25">
      <c r="A586" s="459">
        <v>45274</v>
      </c>
      <c r="B586" s="572"/>
      <c r="C586" s="570"/>
      <c r="D586" s="570"/>
      <c r="E586" s="570"/>
      <c r="F586" s="570"/>
      <c r="G586" s="570"/>
      <c r="H586" s="570"/>
      <c r="I586" s="570"/>
      <c r="J586" s="570"/>
      <c r="K586" s="570"/>
      <c r="L586" s="570"/>
      <c r="M586" s="570"/>
      <c r="N586" s="571"/>
      <c r="O586" s="570"/>
      <c r="P586" s="570"/>
      <c r="Q586" s="570"/>
      <c r="R586" s="570"/>
    </row>
    <row r="587" spans="1:18" ht="15" x14ac:dyDescent="0.25">
      <c r="A587" s="459">
        <v>45275</v>
      </c>
      <c r="B587" s="573"/>
      <c r="C587" s="570"/>
      <c r="D587" s="570"/>
      <c r="E587" s="570"/>
      <c r="F587" s="570"/>
      <c r="G587" s="570"/>
      <c r="H587" s="570"/>
      <c r="I587" s="570"/>
      <c r="J587" s="570"/>
      <c r="K587" s="570"/>
      <c r="L587" s="570"/>
      <c r="M587" s="570"/>
      <c r="N587" s="571"/>
      <c r="O587" s="570"/>
      <c r="P587" s="570"/>
      <c r="Q587" s="570"/>
      <c r="R587" s="570"/>
    </row>
    <row r="588" spans="1:18" ht="28.5" x14ac:dyDescent="0.25">
      <c r="A588" s="459">
        <v>45276</v>
      </c>
      <c r="B588" s="610" t="s">
        <v>7539</v>
      </c>
      <c r="C588" s="570"/>
      <c r="D588" s="570"/>
      <c r="E588" s="570"/>
      <c r="F588" s="570"/>
      <c r="G588" s="570"/>
      <c r="H588" s="570"/>
      <c r="I588" s="570"/>
      <c r="J588" s="570"/>
      <c r="K588" s="570"/>
      <c r="L588" s="570"/>
      <c r="M588" s="570"/>
      <c r="N588" s="571"/>
      <c r="O588" s="183">
        <f>(110000*(12-1))+(110000*12)+(110000*12)+(110000*12)+(110000*12)</f>
        <v>6490000</v>
      </c>
      <c r="P588" s="570"/>
      <c r="Q588" s="570"/>
      <c r="R588" s="570"/>
    </row>
    <row r="589" spans="1:18" ht="28.5" x14ac:dyDescent="0.25">
      <c r="A589" s="459">
        <v>45277</v>
      </c>
      <c r="B589" s="611" t="s">
        <v>7540</v>
      </c>
      <c r="C589" s="570"/>
      <c r="D589" s="570"/>
      <c r="E589" s="570"/>
      <c r="F589" s="570"/>
      <c r="G589" s="570"/>
      <c r="H589" s="570"/>
      <c r="I589" s="570"/>
      <c r="J589" s="570"/>
      <c r="K589" s="570"/>
      <c r="L589" s="570"/>
      <c r="M589" s="570"/>
      <c r="N589" s="571"/>
      <c r="O589" s="570"/>
      <c r="P589" s="570">
        <f>40000*8</f>
        <v>320000</v>
      </c>
      <c r="Q589" s="570"/>
      <c r="R589" s="570"/>
    </row>
    <row r="590" spans="1:18" ht="15" x14ac:dyDescent="0.25">
      <c r="A590" s="459">
        <v>45278</v>
      </c>
      <c r="B590" s="569"/>
      <c r="C590" s="570"/>
      <c r="D590" s="570"/>
      <c r="E590" s="570"/>
      <c r="F590" s="570"/>
      <c r="G590" s="570"/>
      <c r="H590" s="570"/>
      <c r="I590" s="570"/>
      <c r="J590" s="570"/>
      <c r="K590" s="570"/>
      <c r="L590" s="570"/>
      <c r="M590" s="570"/>
      <c r="N590" s="571"/>
      <c r="O590" s="570"/>
      <c r="P590" s="570"/>
      <c r="Q590" s="570"/>
      <c r="R590" s="570"/>
    </row>
    <row r="591" spans="1:18" ht="15" x14ac:dyDescent="0.25">
      <c r="A591" s="459">
        <v>45279</v>
      </c>
      <c r="B591" s="572"/>
      <c r="C591" s="570"/>
      <c r="D591" s="570"/>
      <c r="E591" s="570"/>
      <c r="F591" s="570"/>
      <c r="G591" s="570"/>
      <c r="H591" s="570"/>
      <c r="I591" s="570"/>
      <c r="J591" s="570"/>
      <c r="K591" s="570"/>
      <c r="L591" s="570"/>
      <c r="M591" s="570"/>
      <c r="N591" s="571"/>
      <c r="O591" s="570"/>
      <c r="P591" s="570"/>
      <c r="Q591" s="570"/>
      <c r="R591" s="570"/>
    </row>
    <row r="592" spans="1:18" ht="15" x14ac:dyDescent="0.25">
      <c r="A592" s="459">
        <v>45280</v>
      </c>
      <c r="B592" s="572"/>
      <c r="C592" s="570"/>
      <c r="D592" s="570"/>
      <c r="E592" s="570"/>
      <c r="F592" s="570"/>
      <c r="G592" s="570"/>
      <c r="H592" s="570"/>
      <c r="I592" s="570"/>
      <c r="J592" s="570"/>
      <c r="K592" s="570"/>
      <c r="L592" s="570"/>
      <c r="M592" s="570"/>
      <c r="N592" s="571"/>
      <c r="O592" s="570"/>
      <c r="P592" s="570"/>
      <c r="Q592" s="570"/>
      <c r="R592" s="570"/>
    </row>
    <row r="593" spans="1:18" ht="15" x14ac:dyDescent="0.25">
      <c r="A593" s="459">
        <v>45281</v>
      </c>
      <c r="B593" s="572"/>
      <c r="C593" s="570"/>
      <c r="D593" s="570"/>
      <c r="E593" s="570"/>
      <c r="F593" s="570"/>
      <c r="G593" s="570"/>
      <c r="H593" s="570"/>
      <c r="I593" s="570"/>
      <c r="J593" s="570"/>
      <c r="K593" s="570"/>
      <c r="L593" s="570"/>
      <c r="M593" s="570"/>
      <c r="N593" s="571"/>
      <c r="O593" s="570"/>
      <c r="P593" s="570"/>
      <c r="Q593" s="570"/>
      <c r="R593" s="570"/>
    </row>
    <row r="594" spans="1:18" ht="15" x14ac:dyDescent="0.25">
      <c r="A594" s="459">
        <v>45282</v>
      </c>
      <c r="B594" s="572"/>
      <c r="C594" s="570"/>
      <c r="D594" s="570"/>
      <c r="E594" s="570"/>
      <c r="F594" s="570"/>
      <c r="G594" s="570"/>
      <c r="H594" s="570"/>
      <c r="I594" s="570"/>
      <c r="J594" s="570"/>
      <c r="K594" s="570"/>
      <c r="L594" s="570"/>
      <c r="M594" s="570"/>
      <c r="N594" s="571"/>
      <c r="O594" s="570"/>
      <c r="P594" s="570"/>
      <c r="Q594" s="570"/>
      <c r="R594" s="570"/>
    </row>
    <row r="595" spans="1:18" ht="28.5" x14ac:dyDescent="0.25">
      <c r="A595" s="459">
        <v>45283</v>
      </c>
      <c r="B595" s="611" t="s">
        <v>7541</v>
      </c>
      <c r="C595" s="570"/>
      <c r="D595" s="570"/>
      <c r="E595" s="570"/>
      <c r="F595" s="570"/>
      <c r="G595" s="570"/>
      <c r="H595" s="570"/>
      <c r="I595" s="570"/>
      <c r="J595" s="570"/>
      <c r="K595" s="570"/>
      <c r="L595" s="570"/>
      <c r="M595" s="570"/>
      <c r="N595" s="571"/>
      <c r="O595" s="570"/>
      <c r="P595" s="570">
        <f>40000*8</f>
        <v>320000</v>
      </c>
      <c r="Q595" s="570"/>
      <c r="R595" s="570"/>
    </row>
    <row r="596" spans="1:18" ht="15" x14ac:dyDescent="0.25">
      <c r="A596" s="459">
        <v>45284</v>
      </c>
      <c r="B596" s="569"/>
      <c r="C596" s="570"/>
      <c r="D596" s="570"/>
      <c r="E596" s="570"/>
      <c r="F596" s="570"/>
      <c r="G596" s="570"/>
      <c r="H596" s="570"/>
      <c r="I596" s="570"/>
      <c r="J596" s="570"/>
      <c r="K596" s="570"/>
      <c r="L596" s="570"/>
      <c r="M596" s="570"/>
      <c r="N596" s="571"/>
      <c r="O596" s="570"/>
      <c r="P596" s="570"/>
      <c r="Q596" s="570"/>
      <c r="R596" s="570"/>
    </row>
    <row r="597" spans="1:18" ht="15" x14ac:dyDescent="0.25">
      <c r="A597" s="459">
        <v>45285</v>
      </c>
      <c r="B597" s="572"/>
      <c r="C597" s="570"/>
      <c r="D597" s="570"/>
      <c r="E597" s="570"/>
      <c r="F597" s="570"/>
      <c r="G597" s="570"/>
      <c r="H597" s="570"/>
      <c r="I597" s="570"/>
      <c r="J597" s="570"/>
      <c r="K597" s="570"/>
      <c r="L597" s="570"/>
      <c r="M597" s="570"/>
      <c r="N597" s="571"/>
      <c r="O597" s="570"/>
      <c r="P597" s="570"/>
      <c r="Q597" s="570"/>
      <c r="R597" s="570"/>
    </row>
    <row r="598" spans="1:18" ht="15" x14ac:dyDescent="0.25">
      <c r="A598" s="459">
        <v>45286</v>
      </c>
      <c r="B598" s="572"/>
      <c r="C598" s="570"/>
      <c r="D598" s="570"/>
      <c r="E598" s="570"/>
      <c r="F598" s="570"/>
      <c r="G598" s="570"/>
      <c r="H598" s="570"/>
      <c r="I598" s="570"/>
      <c r="J598" s="570"/>
      <c r="K598" s="570"/>
      <c r="L598" s="570"/>
      <c r="M598" s="570"/>
      <c r="N598" s="571"/>
      <c r="O598" s="570"/>
      <c r="P598" s="570"/>
      <c r="Q598" s="570"/>
      <c r="R598" s="570"/>
    </row>
    <row r="599" spans="1:18" ht="15" x14ac:dyDescent="0.25">
      <c r="A599" s="459">
        <v>45287</v>
      </c>
      <c r="B599" s="572"/>
      <c r="C599" s="570"/>
      <c r="D599" s="570"/>
      <c r="E599" s="570"/>
      <c r="F599" s="570"/>
      <c r="G599" s="570"/>
      <c r="H599" s="570"/>
      <c r="I599" s="570"/>
      <c r="J599" s="570"/>
      <c r="K599" s="570"/>
      <c r="L599" s="570"/>
      <c r="M599" s="570"/>
      <c r="N599" s="571"/>
      <c r="O599" s="570"/>
      <c r="P599" s="570"/>
      <c r="Q599" s="570"/>
      <c r="R599" s="570"/>
    </row>
    <row r="600" spans="1:18" ht="15" x14ac:dyDescent="0.25">
      <c r="A600" s="459">
        <v>45288</v>
      </c>
      <c r="B600" s="572"/>
      <c r="C600" s="570"/>
      <c r="D600" s="570"/>
      <c r="E600" s="570"/>
      <c r="F600" s="570"/>
      <c r="G600" s="570"/>
      <c r="H600" s="570"/>
      <c r="I600" s="570"/>
      <c r="J600" s="570"/>
      <c r="K600" s="570"/>
      <c r="L600" s="570"/>
      <c r="M600" s="570"/>
      <c r="N600" s="571"/>
      <c r="O600" s="570"/>
      <c r="P600" s="570"/>
      <c r="Q600" s="570"/>
      <c r="R600" s="570"/>
    </row>
    <row r="601" spans="1:18" ht="15" x14ac:dyDescent="0.25">
      <c r="A601" s="459">
        <v>45289</v>
      </c>
      <c r="B601" s="572"/>
      <c r="C601" s="586"/>
      <c r="D601" s="586"/>
      <c r="E601" s="586"/>
      <c r="F601" s="586"/>
      <c r="G601" s="586"/>
      <c r="H601" s="586"/>
      <c r="I601" s="586"/>
      <c r="J601" s="586"/>
      <c r="K601" s="586"/>
      <c r="L601" s="586"/>
      <c r="M601" s="586"/>
      <c r="N601" s="571"/>
      <c r="O601" s="586"/>
      <c r="P601" s="586"/>
      <c r="Q601" s="586"/>
      <c r="R601" s="586"/>
    </row>
    <row r="602" spans="1:18" ht="28.5" x14ac:dyDescent="0.25">
      <c r="A602" s="459">
        <v>45290</v>
      </c>
      <c r="B602" s="610" t="s">
        <v>7542</v>
      </c>
      <c r="C602" s="570"/>
      <c r="D602" s="570"/>
      <c r="E602" s="570"/>
      <c r="F602" s="570"/>
      <c r="G602" s="570"/>
      <c r="H602" s="570"/>
      <c r="I602" s="570"/>
      <c r="J602" s="570"/>
      <c r="K602" s="570"/>
      <c r="L602" s="570"/>
      <c r="M602" s="570"/>
      <c r="N602" s="571"/>
      <c r="O602" s="183">
        <f>(110000*(12-1))+(110000*12)+(110000*12)+(110000*12)+(110000*12)</f>
        <v>6490000</v>
      </c>
      <c r="P602" s="570"/>
      <c r="Q602" s="570"/>
      <c r="R602" s="570"/>
    </row>
    <row r="603" spans="1:18" ht="28.5" x14ac:dyDescent="0.25">
      <c r="A603" s="459"/>
      <c r="B603" s="611" t="s">
        <v>7543</v>
      </c>
      <c r="C603" s="570"/>
      <c r="D603" s="570"/>
      <c r="E603" s="570"/>
      <c r="F603" s="570"/>
      <c r="G603" s="570"/>
      <c r="H603" s="570"/>
      <c r="I603" s="570"/>
      <c r="J603" s="570"/>
      <c r="K603" s="570"/>
      <c r="L603" s="570"/>
      <c r="M603" s="570"/>
      <c r="N603" s="571"/>
      <c r="O603" s="570"/>
      <c r="P603" s="570">
        <f>40000*9</f>
        <v>360000</v>
      </c>
      <c r="Q603" s="570"/>
      <c r="R603" s="570"/>
    </row>
    <row r="604" spans="1:18" ht="15" x14ac:dyDescent="0.25">
      <c r="A604" s="459"/>
      <c r="B604" s="610" t="s">
        <v>2625</v>
      </c>
      <c r="C604" s="570"/>
      <c r="D604" s="570"/>
      <c r="E604" s="570"/>
      <c r="F604" s="570"/>
      <c r="G604" s="570"/>
      <c r="H604" s="570"/>
      <c r="I604" s="570"/>
      <c r="J604" s="570"/>
      <c r="K604" s="570"/>
      <c r="L604" s="570"/>
      <c r="M604" s="570"/>
      <c r="N604" s="571"/>
      <c r="O604" s="570">
        <v>19380000</v>
      </c>
      <c r="P604" s="570"/>
      <c r="Q604" s="570"/>
      <c r="R604" s="570"/>
    </row>
    <row r="605" spans="1:18" ht="15" x14ac:dyDescent="0.25">
      <c r="A605" s="459"/>
      <c r="B605" s="610" t="s">
        <v>2626</v>
      </c>
      <c r="C605" s="570"/>
      <c r="D605" s="570"/>
      <c r="E605" s="570"/>
      <c r="F605" s="570"/>
      <c r="G605" s="570"/>
      <c r="H605" s="570"/>
      <c r="I605" s="570"/>
      <c r="J605" s="570"/>
      <c r="K605" s="570"/>
      <c r="L605" s="570"/>
      <c r="M605" s="570">
        <v>5250000</v>
      </c>
      <c r="N605" s="571"/>
      <c r="O605" s="570"/>
      <c r="P605" s="570"/>
      <c r="Q605" s="570"/>
      <c r="R605" s="570"/>
    </row>
    <row r="606" spans="1:18" ht="15" x14ac:dyDescent="0.25">
      <c r="A606" s="459"/>
      <c r="B606" s="610" t="s">
        <v>2627</v>
      </c>
      <c r="C606" s="570"/>
      <c r="D606" s="570"/>
      <c r="E606" s="570"/>
      <c r="F606" s="570"/>
      <c r="G606" s="570"/>
      <c r="H606" s="570"/>
      <c r="I606" s="570"/>
      <c r="J606" s="570"/>
      <c r="K606" s="570"/>
      <c r="L606" s="570"/>
      <c r="M606" s="570"/>
      <c r="N606" s="571"/>
      <c r="O606" s="570"/>
      <c r="P606" s="570">
        <v>1400000</v>
      </c>
      <c r="Q606" s="570"/>
      <c r="R606" s="570"/>
    </row>
    <row r="607" spans="1:18" ht="17.25" thickBot="1" x14ac:dyDescent="0.3">
      <c r="A607" s="463"/>
      <c r="B607" s="587" t="s">
        <v>38</v>
      </c>
      <c r="C607" s="588">
        <f t="shared" ref="C607:R607" si="11">SUM(C571:C606)</f>
        <v>0</v>
      </c>
      <c r="D607" s="588">
        <f t="shared" si="11"/>
        <v>0</v>
      </c>
      <c r="E607" s="588">
        <f t="shared" si="11"/>
        <v>0</v>
      </c>
      <c r="F607" s="588">
        <f t="shared" si="11"/>
        <v>0</v>
      </c>
      <c r="G607" s="588">
        <f t="shared" si="11"/>
        <v>0</v>
      </c>
      <c r="H607" s="588">
        <f t="shared" si="11"/>
        <v>0</v>
      </c>
      <c r="I607" s="588">
        <f t="shared" si="11"/>
        <v>0</v>
      </c>
      <c r="J607" s="588">
        <f t="shared" si="11"/>
        <v>0</v>
      </c>
      <c r="K607" s="588">
        <f t="shared" si="11"/>
        <v>0</v>
      </c>
      <c r="L607" s="588">
        <f t="shared" si="11"/>
        <v>1373000</v>
      </c>
      <c r="M607" s="588">
        <f t="shared" si="11"/>
        <v>5250000</v>
      </c>
      <c r="N607" s="588">
        <f t="shared" si="11"/>
        <v>1995821</v>
      </c>
      <c r="O607" s="588">
        <f t="shared" si="11"/>
        <v>38850000</v>
      </c>
      <c r="P607" s="588">
        <f t="shared" si="11"/>
        <v>3200000</v>
      </c>
      <c r="Q607" s="588">
        <f t="shared" si="11"/>
        <v>0</v>
      </c>
      <c r="R607" s="588">
        <f t="shared" si="11"/>
        <v>0</v>
      </c>
    </row>
    <row r="608" spans="1:18" ht="15" thickBot="1" x14ac:dyDescent="0.3">
      <c r="A608" s="589"/>
      <c r="B608" s="590"/>
      <c r="C608" s="591"/>
      <c r="D608" s="591"/>
      <c r="E608" s="591"/>
      <c r="F608" s="591"/>
      <c r="G608" s="591"/>
      <c r="H608" s="591"/>
      <c r="I608" s="591"/>
      <c r="J608" s="591"/>
      <c r="K608" s="591"/>
      <c r="L608" s="591"/>
      <c r="M608" s="591"/>
      <c r="N608" s="592"/>
      <c r="O608" s="591"/>
      <c r="P608" s="591"/>
      <c r="Q608" s="593"/>
      <c r="R608" s="593"/>
    </row>
    <row r="609" spans="1:18" s="596" customFormat="1" ht="15" thickBot="1" x14ac:dyDescent="0.3">
      <c r="A609" s="589"/>
      <c r="B609" s="594" t="s">
        <v>38</v>
      </c>
      <c r="C609" s="595">
        <f t="shared" ref="C609:R609" si="12">C61+C114+C160+C207+C266+C316+C367+C413+C477+C524+C569+C607</f>
        <v>5880650</v>
      </c>
      <c r="D609" s="595">
        <f t="shared" si="12"/>
        <v>2498000</v>
      </c>
      <c r="E609" s="595">
        <f t="shared" si="12"/>
        <v>6183320</v>
      </c>
      <c r="F609" s="595">
        <f t="shared" si="12"/>
        <v>77602210</v>
      </c>
      <c r="G609" s="595">
        <f t="shared" si="12"/>
        <v>28496000</v>
      </c>
      <c r="H609" s="595">
        <f t="shared" si="12"/>
        <v>11743834</v>
      </c>
      <c r="I609" s="595">
        <f t="shared" si="12"/>
        <v>49422982</v>
      </c>
      <c r="J609" s="595">
        <f t="shared" si="12"/>
        <v>8527500</v>
      </c>
      <c r="K609" s="595">
        <f t="shared" si="12"/>
        <v>5480154</v>
      </c>
      <c r="L609" s="595">
        <f t="shared" si="12"/>
        <v>97127910</v>
      </c>
      <c r="M609" s="595">
        <f t="shared" si="12"/>
        <v>62734000</v>
      </c>
      <c r="N609" s="595">
        <f t="shared" si="12"/>
        <v>24149052</v>
      </c>
      <c r="O609" s="595">
        <f t="shared" si="12"/>
        <v>414690000</v>
      </c>
      <c r="P609" s="595">
        <f t="shared" si="12"/>
        <v>32800000</v>
      </c>
      <c r="Q609" s="595">
        <f t="shared" si="12"/>
        <v>41200000</v>
      </c>
      <c r="R609" s="595">
        <f t="shared" si="12"/>
        <v>742270</v>
      </c>
    </row>
    <row r="610" spans="1:18" s="600" customFormat="1" ht="23.25" thickBot="1" x14ac:dyDescent="0.3">
      <c r="A610" s="954" t="s">
        <v>146</v>
      </c>
      <c r="B610" s="955"/>
      <c r="C610" s="597"/>
      <c r="D610" s="597"/>
      <c r="E610" s="597"/>
      <c r="F610" s="597"/>
      <c r="G610" s="598"/>
      <c r="H610" s="598"/>
      <c r="I610" s="598"/>
      <c r="J610" s="598"/>
      <c r="K610" s="598"/>
      <c r="L610" s="598"/>
      <c r="M610" s="598"/>
      <c r="N610" s="599"/>
      <c r="O610" s="597"/>
      <c r="P610" s="952">
        <f>SUM(C609:R609)</f>
        <v>869277882</v>
      </c>
      <c r="Q610" s="952"/>
      <c r="R610" s="953"/>
    </row>
    <row r="612" spans="1:18" s="608" customFormat="1" ht="27" x14ac:dyDescent="0.25">
      <c r="A612" s="605" t="s">
        <v>227</v>
      </c>
      <c r="B612" s="606" t="s">
        <v>229</v>
      </c>
      <c r="C612" s="607"/>
      <c r="D612" s="607"/>
      <c r="E612" s="607"/>
      <c r="N612" s="609"/>
    </row>
    <row r="613" spans="1:18" s="608" customFormat="1" ht="27" x14ac:dyDescent="0.25">
      <c r="A613" s="605"/>
      <c r="B613" s="606" t="s">
        <v>228</v>
      </c>
      <c r="C613" s="607"/>
      <c r="D613" s="607"/>
      <c r="E613" s="607"/>
      <c r="N613" s="609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610:R610"/>
    <mergeCell ref="A610:B610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H18" activePane="bottomRight" state="frozen"/>
      <selection pane="topRight" activeCell="B1" sqref="B1"/>
      <selection pane="bottomLeft" activeCell="A6" sqref="A6"/>
      <selection pane="bottomRight" activeCell="M22" sqref="M22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292</v>
      </c>
    </row>
    <row r="2" spans="1:20" x14ac:dyDescent="0.25">
      <c r="A2" s="6" t="s">
        <v>0</v>
      </c>
      <c r="H2" s="548"/>
    </row>
    <row r="3" spans="1:20" x14ac:dyDescent="0.25">
      <c r="A3" s="6" t="s">
        <v>399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2383032021.6216216</v>
      </c>
      <c r="G6" s="11">
        <f t="shared" si="0"/>
        <v>2037014657.207206</v>
      </c>
      <c r="H6" s="11">
        <f t="shared" si="0"/>
        <v>2421096702.2522521</v>
      </c>
      <c r="I6" s="11">
        <f t="shared" si="0"/>
        <v>1269969486.486486</v>
      </c>
      <c r="J6" s="11">
        <f t="shared" si="0"/>
        <v>1097867290.09009</v>
      </c>
      <c r="K6" s="11">
        <f t="shared" si="0"/>
        <v>1139651670.2702696</v>
      </c>
      <c r="L6" s="11">
        <f t="shared" si="0"/>
        <v>1565448072.0720718</v>
      </c>
      <c r="M6" s="11">
        <f t="shared" si="0"/>
        <v>269180481.4954955</v>
      </c>
      <c r="N6" s="11">
        <f>SUM(B6:M6)</f>
        <v>18502660676.99099</v>
      </c>
      <c r="O6" s="12"/>
      <c r="P6" s="353" t="s">
        <v>307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2383032021.6216216</v>
      </c>
      <c r="G7" s="11">
        <f>'REKAP PAJAK'!O14</f>
        <v>2037014657.207206</v>
      </c>
      <c r="H7" s="11">
        <f>'REKAP PAJAK'!O15</f>
        <v>2421096702.2522521</v>
      </c>
      <c r="I7" s="11">
        <f>'REKAP PAJAK'!O16</f>
        <v>1269969486.486486</v>
      </c>
      <c r="J7" s="11">
        <f>'REKAP PAJAK'!O17</f>
        <v>1097867290.09009</v>
      </c>
      <c r="K7" s="11">
        <f>'REKAP PAJAK'!O18</f>
        <v>1139651670.2702696</v>
      </c>
      <c r="L7" s="11">
        <f>'REKAP PAJAK'!O19</f>
        <v>1565448072.0720718</v>
      </c>
      <c r="M7" s="11">
        <f>'REKAP PAJAK'!O20</f>
        <v>269180481.4954955</v>
      </c>
      <c r="N7" s="11">
        <f>SUM(B7:M7)</f>
        <v>18502660676.99099</v>
      </c>
      <c r="O7" s="12"/>
      <c r="P7" s="353" t="s">
        <v>308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4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4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4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3971053940.3345799</v>
      </c>
      <c r="H11" s="15">
        <f t="shared" si="1"/>
        <v>3821971795.1273699</v>
      </c>
      <c r="I11" s="15">
        <f t="shared" si="1"/>
        <v>3813264491.5507898</v>
      </c>
      <c r="J11" s="15">
        <f t="shared" si="1"/>
        <v>3623757056.1363802</v>
      </c>
      <c r="K11" s="15">
        <f>J15</f>
        <v>3657618165.7129598</v>
      </c>
      <c r="L11" s="15">
        <f>K15</f>
        <v>3627354096.7670102</v>
      </c>
      <c r="M11" s="15">
        <f t="shared" si="1"/>
        <v>3614153202.7670121</v>
      </c>
      <c r="N11" s="14">
        <f>B11</f>
        <v>4389764532.9752102</v>
      </c>
      <c r="P11" s="354" t="s">
        <v>304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2152203297</v>
      </c>
      <c r="G12" s="11">
        <f>'REKAP PAJAK'!Q14</f>
        <v>1811383445</v>
      </c>
      <c r="H12" s="11">
        <f>'REKAP PAJAK'!Q15</f>
        <v>2336415546.6756754</v>
      </c>
      <c r="I12" s="11">
        <f>'REKAP PAJAK'!Q16</f>
        <v>1003392134.3963964</v>
      </c>
      <c r="J12" s="11">
        <f>'REKAP PAJAK'!Q17</f>
        <v>1046943868</v>
      </c>
      <c r="K12" s="11">
        <f>'REKAP PAJAK'!Q18</f>
        <v>1051143434.3243244</v>
      </c>
      <c r="L12" s="11">
        <f>'REKAP PAJAK'!Q19</f>
        <v>1477919736</v>
      </c>
      <c r="M12" s="11">
        <f>'REKAP PAJAK'!Q20</f>
        <v>1257192934.8685505</v>
      </c>
      <c r="N12" s="14">
        <f>SUM(B12:M12)</f>
        <v>17798608714.264946</v>
      </c>
      <c r="P12" s="354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4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6242117384.9561996</v>
      </c>
      <c r="G14" s="17">
        <f t="shared" si="2"/>
        <v>5782437385.3345795</v>
      </c>
      <c r="H14" s="17">
        <f t="shared" si="2"/>
        <v>6158387341.8030453</v>
      </c>
      <c r="I14" s="17">
        <f t="shared" si="2"/>
        <v>4816656625.9471865</v>
      </c>
      <c r="J14" s="17">
        <f t="shared" si="2"/>
        <v>4670700924.1363802</v>
      </c>
      <c r="K14" s="17">
        <f t="shared" si="2"/>
        <v>4708761600.0372839</v>
      </c>
      <c r="L14" s="17">
        <f t="shared" si="2"/>
        <v>5105273832.7670097</v>
      </c>
      <c r="M14" s="17">
        <f t="shared" si="2"/>
        <v>4871346137.6355629</v>
      </c>
      <c r="N14" s="14">
        <f>SUM(N11:N12)</f>
        <v>22188373247.240158</v>
      </c>
      <c r="O14" s="18"/>
      <c r="P14" s="355" t="s">
        <v>305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3971053940.3345799</v>
      </c>
      <c r="G15" s="15">
        <v>3821971795.1273699</v>
      </c>
      <c r="H15" s="15">
        <v>3813264491.5507898</v>
      </c>
      <c r="I15" s="549">
        <v>3623757056.1363802</v>
      </c>
      <c r="J15" s="15">
        <v>3657618165.7129598</v>
      </c>
      <c r="K15" s="15">
        <f>3625779943.76701+1574153</f>
        <v>3627354096.7670102</v>
      </c>
      <c r="L15" s="15">
        <f>3605400369.69494+8752833.0720718</f>
        <v>3614153202.7670121</v>
      </c>
      <c r="M15" s="239"/>
      <c r="N15" s="14">
        <f>M15</f>
        <v>0</v>
      </c>
      <c r="P15" s="354" t="s">
        <v>306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2271063444.6216197</v>
      </c>
      <c r="G16" s="21">
        <f t="shared" si="3"/>
        <v>1960465590.2072096</v>
      </c>
      <c r="H16" s="21">
        <f t="shared" si="3"/>
        <v>2345122850.2522554</v>
      </c>
      <c r="I16" s="21">
        <f t="shared" si="3"/>
        <v>1192899569.8108063</v>
      </c>
      <c r="J16" s="21">
        <f t="shared" si="3"/>
        <v>1013082758.4234204</v>
      </c>
      <c r="K16" s="21">
        <f t="shared" si="3"/>
        <v>1081407503.2702737</v>
      </c>
      <c r="L16" s="21">
        <f t="shared" si="3"/>
        <v>1491120629.9999976</v>
      </c>
      <c r="M16" s="21">
        <f t="shared" si="3"/>
        <v>4871346137.6355629</v>
      </c>
      <c r="N16" s="21">
        <f>N14-N15</f>
        <v>22188373247.240158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111968577.00000191</v>
      </c>
      <c r="G17" s="26">
        <f t="shared" si="4"/>
        <v>76549066.999996424</v>
      </c>
      <c r="H17" s="26">
        <f t="shared" si="4"/>
        <v>75973851.999996662</v>
      </c>
      <c r="I17" s="26">
        <f t="shared" si="4"/>
        <v>77069916.675679684</v>
      </c>
      <c r="J17" s="26">
        <f t="shared" si="4"/>
        <v>84784531.666669607</v>
      </c>
      <c r="K17" s="26">
        <f t="shared" si="4"/>
        <v>58244166.999995947</v>
      </c>
      <c r="L17" s="26">
        <f t="shared" si="4"/>
        <v>74327442.072074175</v>
      </c>
      <c r="M17" s="26">
        <f t="shared" si="4"/>
        <v>-4602165656.1400671</v>
      </c>
      <c r="N17" s="26">
        <f t="shared" si="4"/>
        <v>-3685712570.2491684</v>
      </c>
      <c r="O17" s="314">
        <f>N17/N6</f>
        <v>-0.19919905761621309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43230000</v>
      </c>
      <c r="H19" s="31">
        <f t="shared" si="5"/>
        <v>50019500</v>
      </c>
      <c r="I19" s="31">
        <f t="shared" si="5"/>
        <v>38907000</v>
      </c>
      <c r="J19" s="31">
        <f t="shared" si="5"/>
        <v>40041500</v>
      </c>
      <c r="K19" s="31">
        <f t="shared" si="5"/>
        <v>39087000</v>
      </c>
      <c r="L19" s="31">
        <f t="shared" si="5"/>
        <v>39340000</v>
      </c>
      <c r="M19" s="31">
        <f t="shared" si="5"/>
        <v>47300000</v>
      </c>
      <c r="N19" s="31">
        <f t="shared" ref="N19:N27" si="6">SUM(B19:M19)</f>
        <v>510224000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35000000</v>
      </c>
      <c r="H20" s="14">
        <f>'DAFTAR GAJI'!AG24</f>
        <v>41380000</v>
      </c>
      <c r="I20" s="14">
        <f>'DAFTAR GAJI'!AK24</f>
        <v>31170000</v>
      </c>
      <c r="J20" s="14">
        <f>'DAFTAR GAJI'!AO24</f>
        <v>32380000</v>
      </c>
      <c r="K20" s="14">
        <f>'DAFTAR GAJI'!AS24</f>
        <v>31590000</v>
      </c>
      <c r="L20" s="14">
        <f>'DAFTAR GAJI'!AW24</f>
        <v>31460000</v>
      </c>
      <c r="M20" s="14">
        <f>'DAFTAR GAJI'!BA24</f>
        <v>38850000</v>
      </c>
      <c r="N20" s="11">
        <f t="shared" si="6"/>
        <v>414690000</v>
      </c>
      <c r="S20" s="4"/>
      <c r="T20" s="4"/>
    </row>
    <row r="21" spans="1:20" x14ac:dyDescent="0.25">
      <c r="A21" s="7" t="s">
        <v>200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5350000</v>
      </c>
      <c r="H21" s="14">
        <f>'DAFTAR GAJI'!AH24</f>
        <v>5359500</v>
      </c>
      <c r="I21" s="14">
        <f>'DAFTAR GAJI'!AL24</f>
        <v>5257000</v>
      </c>
      <c r="J21" s="14">
        <f>'DAFTAR GAJI'!AP24</f>
        <v>5021500</v>
      </c>
      <c r="K21" s="14">
        <f>'DAFTAR GAJI'!AT24</f>
        <v>5257000</v>
      </c>
      <c r="L21" s="14">
        <f>'DAFTAR GAJI'!AX24</f>
        <v>5400000</v>
      </c>
      <c r="M21" s="14">
        <f>'DAFTAR GAJI'!BB24</f>
        <v>5250000</v>
      </c>
      <c r="N21" s="11">
        <f>SUM(B21:M21)</f>
        <v>62734000</v>
      </c>
      <c r="S21" s="4"/>
      <c r="T21" s="4"/>
    </row>
    <row r="22" spans="1:20" x14ac:dyDescent="0.25">
      <c r="A22" s="7" t="s">
        <v>383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2880000</v>
      </c>
      <c r="H22" s="14">
        <f>'DAFTAR GAJI'!AI24+'DAFTAR GAJI'!AJ24</f>
        <v>3280000</v>
      </c>
      <c r="I22" s="14">
        <f>'DAFTAR GAJI'!AM24+'DAFTAR GAJI'!AN24</f>
        <v>2480000</v>
      </c>
      <c r="J22" s="14">
        <f>'DAFTAR GAJI'!AQ24+'DAFTAR GAJI'!AR24</f>
        <v>2640000</v>
      </c>
      <c r="K22" s="14">
        <f>'DAFTAR GAJI'!AU24+'DAFTAR GAJI'!AV24</f>
        <v>2240000</v>
      </c>
      <c r="L22" s="14">
        <f>'DAFTAR GAJI'!AY24+'DAFTAR GAJI'!AZ24</f>
        <v>2480000</v>
      </c>
      <c r="M22" s="14">
        <f>'DAFTAR GAJI'!BC24+'DAFTAR GAJI'!BD24</f>
        <v>3200000</v>
      </c>
      <c r="N22" s="11">
        <f>SUM(B22:M22)</f>
        <v>32800000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45048597</v>
      </c>
      <c r="G24" s="31">
        <f t="shared" si="7"/>
        <v>30331191</v>
      </c>
      <c r="H24" s="31">
        <f t="shared" si="7"/>
        <v>25017626</v>
      </c>
      <c r="I24" s="31">
        <f t="shared" si="7"/>
        <v>29683851</v>
      </c>
      <c r="J24" s="31">
        <f t="shared" si="7"/>
        <v>44208945</v>
      </c>
      <c r="K24" s="31">
        <f t="shared" si="7"/>
        <v>17583014</v>
      </c>
      <c r="L24" s="31">
        <f t="shared" si="7"/>
        <v>26234609</v>
      </c>
      <c r="M24" s="31">
        <f t="shared" si="7"/>
        <v>3368821</v>
      </c>
      <c r="N24" s="31">
        <f t="shared" si="6"/>
        <v>317853882</v>
      </c>
      <c r="O24" s="32"/>
      <c r="P24" s="32"/>
      <c r="Q24" s="32"/>
      <c r="R24" s="33"/>
      <c r="S24" s="33"/>
      <c r="T24" s="33"/>
    </row>
    <row r="25" spans="1:20" x14ac:dyDescent="0.25">
      <c r="A25" s="7" t="s">
        <v>203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KECIL'!C266</f>
        <v>633000</v>
      </c>
      <c r="G25" s="14">
        <f>'KAS KECIL'!C316</f>
        <v>210500</v>
      </c>
      <c r="H25" s="14">
        <f>'KAS KECIL'!C367</f>
        <v>302600</v>
      </c>
      <c r="I25" s="14">
        <f>'KAS KECIL'!C413</f>
        <v>650100</v>
      </c>
      <c r="J25" s="14">
        <f>'KAS KECIL'!C477</f>
        <v>421500</v>
      </c>
      <c r="K25" s="14">
        <f>'KAS KECIL'!C524</f>
        <v>939900</v>
      </c>
      <c r="L25" s="14">
        <f>'KAS KECIL'!C569</f>
        <v>624900</v>
      </c>
      <c r="M25" s="14">
        <f>'KAS KECIL'!C607</f>
        <v>0</v>
      </c>
      <c r="N25" s="11">
        <f t="shared" si="6"/>
        <v>5880650</v>
      </c>
      <c r="S25" s="4"/>
      <c r="T25" s="4"/>
    </row>
    <row r="26" spans="1:20" x14ac:dyDescent="0.25">
      <c r="A26" s="7" t="s">
        <v>207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KECIL'!D266</f>
        <v>437000</v>
      </c>
      <c r="G26" s="14">
        <f>'KAS KECIL'!D316</f>
        <v>480000</v>
      </c>
      <c r="H26" s="14">
        <f>'KAS KECIL'!D367</f>
        <v>100000</v>
      </c>
      <c r="I26" s="14">
        <f>'KAS KECIL'!D413</f>
        <v>490000</v>
      </c>
      <c r="J26" s="14">
        <f>'KAS KECIL'!D477</f>
        <v>210000</v>
      </c>
      <c r="K26" s="14">
        <f>'KAS KECIL'!D524</f>
        <v>0</v>
      </c>
      <c r="L26" s="14">
        <f>'KAS KECIL'!D569</f>
        <v>0</v>
      </c>
      <c r="M26" s="14">
        <f>'KAS KECIL'!D607</f>
        <v>0</v>
      </c>
      <c r="N26" s="11">
        <f t="shared" si="6"/>
        <v>2498000</v>
      </c>
      <c r="S26" s="4"/>
      <c r="T26" s="4"/>
    </row>
    <row r="27" spans="1:20" x14ac:dyDescent="0.25">
      <c r="A27" s="7" t="s">
        <v>208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KECIL'!E266</f>
        <v>585000</v>
      </c>
      <c r="G27" s="14">
        <f>'KAS KECIL'!E316</f>
        <v>349000</v>
      </c>
      <c r="H27" s="14">
        <f>'KAS KECIL'!E367</f>
        <v>696000</v>
      </c>
      <c r="I27" s="14">
        <f>'KAS KECIL'!E413</f>
        <v>293600</v>
      </c>
      <c r="J27" s="14">
        <f>'KAS KECIL'!E477</f>
        <v>907500</v>
      </c>
      <c r="K27" s="14">
        <f>'KAS KECIL'!E524</f>
        <v>521220</v>
      </c>
      <c r="L27" s="14">
        <f>'KAS KECIL'!E569</f>
        <v>299000</v>
      </c>
      <c r="M27" s="14">
        <f>'KAS KECIL'!E607</f>
        <v>0</v>
      </c>
      <c r="N27" s="11">
        <f t="shared" si="6"/>
        <v>6183320</v>
      </c>
      <c r="S27" s="4"/>
      <c r="T27" s="4"/>
    </row>
    <row r="28" spans="1:20" x14ac:dyDescent="0.25">
      <c r="A28" s="7" t="s">
        <v>204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KECIL'!F266</f>
        <v>9628500</v>
      </c>
      <c r="G28" s="14">
        <f>'KAS KECIL'!F316</f>
        <v>8821000</v>
      </c>
      <c r="H28" s="14">
        <f>'KAS KECIL'!F367</f>
        <v>3050000</v>
      </c>
      <c r="I28" s="14">
        <f>'KAS KECIL'!F413</f>
        <v>6000559</v>
      </c>
      <c r="J28" s="14">
        <f>'KAS KECIL'!F477</f>
        <v>9249000</v>
      </c>
      <c r="K28" s="14">
        <f>'KAS KECIL'!F524</f>
        <v>769500</v>
      </c>
      <c r="L28" s="14">
        <f>'KAS KECIL'!F569</f>
        <v>9688000</v>
      </c>
      <c r="M28" s="14">
        <f>'KAS KECIL'!F607</f>
        <v>0</v>
      </c>
      <c r="N28" s="11">
        <f t="shared" ref="N28:N36" si="8">SUM(B28:M28)</f>
        <v>77602210</v>
      </c>
      <c r="S28" s="4"/>
      <c r="T28" s="4"/>
    </row>
    <row r="29" spans="1:20" x14ac:dyDescent="0.25">
      <c r="A29" s="7" t="s">
        <v>210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KECIL'!G266</f>
        <v>450000</v>
      </c>
      <c r="G29" s="14">
        <f>'KAS KECIL'!G316</f>
        <v>3009500</v>
      </c>
      <c r="H29" s="14">
        <f>'KAS KECIL'!G367</f>
        <v>4017500</v>
      </c>
      <c r="I29" s="14">
        <f>'KAS KECIL'!G413</f>
        <v>8083000</v>
      </c>
      <c r="J29" s="14">
        <f>'KAS KECIL'!G477</f>
        <v>5514500</v>
      </c>
      <c r="K29" s="14">
        <f>'KAS KECIL'!G524</f>
        <v>3347000</v>
      </c>
      <c r="L29" s="14">
        <f>'KAS KECIL'!G569</f>
        <v>440000</v>
      </c>
      <c r="M29" s="14">
        <f>'KAS KECIL'!G607</f>
        <v>0</v>
      </c>
      <c r="N29" s="11">
        <f t="shared" si="8"/>
        <v>28496000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KECIL'!H266</f>
        <v>1050000</v>
      </c>
      <c r="G30" s="14">
        <f>'KAS KECIL'!H316</f>
        <v>1705000</v>
      </c>
      <c r="H30" s="14">
        <f>'KAS KECIL'!H367</f>
        <v>750000</v>
      </c>
      <c r="I30" s="14">
        <f>'KAS KECIL'!H413</f>
        <v>902500</v>
      </c>
      <c r="J30" s="14">
        <f>'KAS KECIL'!H477</f>
        <v>1016500</v>
      </c>
      <c r="K30" s="14">
        <f>'KAS KECIL'!H524</f>
        <v>1133430</v>
      </c>
      <c r="L30" s="14">
        <f>'KAS KECIL'!H569</f>
        <v>1117000</v>
      </c>
      <c r="M30" s="14">
        <f>'KAS KECIL'!H607</f>
        <v>0</v>
      </c>
      <c r="N30" s="11">
        <f t="shared" si="8"/>
        <v>11743834</v>
      </c>
      <c r="S30" s="4"/>
      <c r="T30" s="4"/>
    </row>
    <row r="31" spans="1:20" x14ac:dyDescent="0.25">
      <c r="A31" s="7" t="s">
        <v>211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KECIL'!I266</f>
        <v>3278000</v>
      </c>
      <c r="G31" s="14">
        <f>'KAS KECIL'!I316</f>
        <v>5334221</v>
      </c>
      <c r="H31" s="14">
        <f>'KAS KECIL'!I367</f>
        <v>3850000</v>
      </c>
      <c r="I31" s="14">
        <f>'KAS KECIL'!I413</f>
        <v>2130000</v>
      </c>
      <c r="J31" s="14">
        <f>'KAS KECIL'!I477</f>
        <v>7346000</v>
      </c>
      <c r="K31" s="14">
        <f>'KAS KECIL'!I524</f>
        <v>3029000</v>
      </c>
      <c r="L31" s="14">
        <f>'KAS KECIL'!I569</f>
        <v>2667411</v>
      </c>
      <c r="M31" s="14">
        <f>'KAS KECIL'!I607</f>
        <v>0</v>
      </c>
      <c r="N31" s="11">
        <f t="shared" si="8"/>
        <v>49422982</v>
      </c>
      <c r="S31" s="4"/>
      <c r="T31" s="4"/>
    </row>
    <row r="32" spans="1:20" x14ac:dyDescent="0.25">
      <c r="A32" s="7" t="s">
        <v>201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KECIL'!J266</f>
        <v>1005000</v>
      </c>
      <c r="G32" s="14">
        <f>'KAS KECIL'!J316</f>
        <v>1002500</v>
      </c>
      <c r="H32" s="14">
        <f>'KAS KECIL'!J367</f>
        <v>1002500</v>
      </c>
      <c r="I32" s="14">
        <f>'KAS KECIL'!J413</f>
        <v>1002500</v>
      </c>
      <c r="J32" s="14">
        <f>'KAS KECIL'!J477</f>
        <v>1002500</v>
      </c>
      <c r="K32" s="14">
        <f>'KAS KECIL'!J524</f>
        <v>1002500</v>
      </c>
      <c r="L32" s="14">
        <f>'KAS KECIL'!J569</f>
        <v>1002500</v>
      </c>
      <c r="M32" s="14">
        <f>'KAS KECIL'!J607</f>
        <v>0</v>
      </c>
      <c r="N32" s="11">
        <f t="shared" si="8"/>
        <v>8527500</v>
      </c>
      <c r="S32" s="4"/>
      <c r="T32" s="4"/>
    </row>
    <row r="33" spans="1:20" x14ac:dyDescent="0.25">
      <c r="A33" s="7" t="s">
        <v>212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KECIL'!K266</f>
        <v>482016</v>
      </c>
      <c r="G33" s="14">
        <f>'KAS KECIL'!K316</f>
        <v>535649</v>
      </c>
      <c r="H33" s="14">
        <f>'KAS KECIL'!K367</f>
        <v>582755</v>
      </c>
      <c r="I33" s="14">
        <f>'KAS KECIL'!K413</f>
        <v>594771</v>
      </c>
      <c r="J33" s="14">
        <f>'KAS KECIL'!K477</f>
        <v>492624</v>
      </c>
      <c r="K33" s="14">
        <f>'KAS KECIL'!K524</f>
        <v>533873</v>
      </c>
      <c r="L33" s="14">
        <f>'KAS KECIL'!K569</f>
        <v>436477</v>
      </c>
      <c r="M33" s="14">
        <f>'KAS KECIL'!K607</f>
        <v>0</v>
      </c>
      <c r="N33" s="11">
        <f t="shared" si="8"/>
        <v>5480154</v>
      </c>
      <c r="S33" s="4"/>
      <c r="T33" s="4"/>
    </row>
    <row r="34" spans="1:20" x14ac:dyDescent="0.25">
      <c r="A34" s="7" t="s">
        <v>202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KECIL'!L266</f>
        <v>25364260</v>
      </c>
      <c r="G34" s="14">
        <f>'KAS KECIL'!L316</f>
        <v>6888000</v>
      </c>
      <c r="H34" s="14">
        <f>'KAS KECIL'!L367</f>
        <v>8446250</v>
      </c>
      <c r="I34" s="14">
        <f>'KAS KECIL'!L413</f>
        <v>7541000</v>
      </c>
      <c r="J34" s="14">
        <f>'KAS KECIL'!L477</f>
        <v>15873000</v>
      </c>
      <c r="K34" s="14">
        <f>'KAS KECIL'!L524</f>
        <v>4192500</v>
      </c>
      <c r="L34" s="14">
        <f>'KAS KECIL'!L569</f>
        <v>7793500</v>
      </c>
      <c r="M34" s="14">
        <f>'KAS KECIL'!L607</f>
        <v>1373000</v>
      </c>
      <c r="N34" s="11">
        <f t="shared" si="8"/>
        <v>97127910</v>
      </c>
      <c r="S34" s="4"/>
      <c r="T34" s="4"/>
    </row>
    <row r="35" spans="1:20" x14ac:dyDescent="0.25">
      <c r="A35" s="7" t="s">
        <v>219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KECIL'!N266</f>
        <v>1995821</v>
      </c>
      <c r="G35" s="14">
        <f>'KAS KECIL'!N316</f>
        <v>1995821</v>
      </c>
      <c r="H35" s="14">
        <f>'KAS KECIL'!N367</f>
        <v>2195021</v>
      </c>
      <c r="I35" s="14">
        <f>'KAS KECIL'!N413</f>
        <v>1995821</v>
      </c>
      <c r="J35" s="14">
        <f>'KAS KECIL'!N477</f>
        <v>1995821</v>
      </c>
      <c r="K35" s="14">
        <f>'KAS KECIL'!N524</f>
        <v>1995821</v>
      </c>
      <c r="L35" s="14">
        <f>'KAS KECIL'!N569</f>
        <v>1995821</v>
      </c>
      <c r="M35" s="14">
        <f>'KAS KECIL'!N607</f>
        <v>1995821</v>
      </c>
      <c r="N35" s="11">
        <f t="shared" si="8"/>
        <v>24149052</v>
      </c>
      <c r="S35" s="4"/>
      <c r="T35" s="4"/>
    </row>
    <row r="36" spans="1:20" x14ac:dyDescent="0.25">
      <c r="A36" s="7" t="s">
        <v>205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KECIL'!R266</f>
        <v>140000</v>
      </c>
      <c r="G36" s="14">
        <f>'KAS KECIL'!R316</f>
        <v>0</v>
      </c>
      <c r="H36" s="14">
        <f>'KAS KECIL'!R367</f>
        <v>25000</v>
      </c>
      <c r="I36" s="14">
        <f>'KAS KECIL'!R413</f>
        <v>0</v>
      </c>
      <c r="J36" s="14">
        <f>'KAS KECIL'!R477</f>
        <v>180000</v>
      </c>
      <c r="K36" s="14">
        <f>'KAS KECIL'!R524</f>
        <v>118270</v>
      </c>
      <c r="L36" s="14">
        <f>'KAS KECIL'!R569</f>
        <v>170000</v>
      </c>
      <c r="M36" s="14">
        <f>'KAS KECIL'!R607</f>
        <v>0</v>
      </c>
      <c r="N36" s="11">
        <f t="shared" si="8"/>
        <v>742270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86878597</v>
      </c>
      <c r="G38" s="35">
        <f t="shared" si="9"/>
        <v>73561191</v>
      </c>
      <c r="H38" s="35">
        <f t="shared" si="9"/>
        <v>75037126</v>
      </c>
      <c r="I38" s="35">
        <f t="shared" si="9"/>
        <v>68590851</v>
      </c>
      <c r="J38" s="35">
        <f t="shared" si="9"/>
        <v>84250445</v>
      </c>
      <c r="K38" s="35">
        <f t="shared" si="9"/>
        <v>56670014</v>
      </c>
      <c r="L38" s="35">
        <f t="shared" si="9"/>
        <v>65574609</v>
      </c>
      <c r="M38" s="35">
        <f t="shared" si="9"/>
        <v>50668821</v>
      </c>
      <c r="N38" s="35">
        <f t="shared" si="9"/>
        <v>828077882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25089980.000001907</v>
      </c>
      <c r="G51" s="37">
        <f t="shared" si="14"/>
        <v>2987875.9999964237</v>
      </c>
      <c r="H51" s="37">
        <f t="shared" si="14"/>
        <v>936725.99999666214</v>
      </c>
      <c r="I51" s="37">
        <f t="shared" si="14"/>
        <v>8479065.6756796837</v>
      </c>
      <c r="J51" s="37">
        <f t="shared" si="14"/>
        <v>534086.66666960716</v>
      </c>
      <c r="K51" s="37">
        <f t="shared" si="14"/>
        <v>1574152.9999959469</v>
      </c>
      <c r="L51" s="37">
        <f t="shared" si="14"/>
        <v>8752833.0720741749</v>
      </c>
      <c r="M51" s="37">
        <f t="shared" si="14"/>
        <v>-4652834477.1400671</v>
      </c>
      <c r="N51" s="37">
        <f t="shared" si="14"/>
        <v>-4513790452.2491684</v>
      </c>
      <c r="O51" s="208">
        <f>N51/N6</f>
        <v>-0.24395358759739344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46" right="0.12" top="0.19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topLeftCell="A10" workbookViewId="0">
      <selection activeCell="F13" sqref="F13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990" t="str">
        <f>[3]NERACA!A2</f>
        <v>CV. ARTO MORO</v>
      </c>
      <c r="B1" s="991"/>
      <c r="C1" s="991"/>
      <c r="D1" s="991"/>
      <c r="E1" s="991"/>
      <c r="F1" s="991"/>
      <c r="G1" s="991"/>
      <c r="H1" s="991"/>
      <c r="I1" s="992"/>
    </row>
    <row r="2" spans="1:9" ht="15.75" x14ac:dyDescent="0.25">
      <c r="A2" s="987" t="str">
        <f>[3]NERACA!A3</f>
        <v>JL.INDUSTRI XX /903 SEMARANG</v>
      </c>
      <c r="B2" s="988"/>
      <c r="C2" s="988"/>
      <c r="D2" s="988"/>
      <c r="E2" s="988"/>
      <c r="F2" s="988"/>
      <c r="G2" s="988"/>
      <c r="H2" s="988"/>
      <c r="I2" s="989"/>
    </row>
    <row r="3" spans="1:9" ht="15.75" x14ac:dyDescent="0.25">
      <c r="A3" s="984" t="s">
        <v>309</v>
      </c>
      <c r="B3" s="985"/>
      <c r="C3" s="985"/>
      <c r="D3" s="985"/>
      <c r="E3" s="985"/>
      <c r="F3" s="985"/>
      <c r="G3" s="985"/>
      <c r="H3" s="985"/>
      <c r="I3" s="986"/>
    </row>
    <row r="4" spans="1:9" ht="16.5" thickBot="1" x14ac:dyDescent="0.3">
      <c r="A4" s="981" t="s">
        <v>401</v>
      </c>
      <c r="B4" s="982"/>
      <c r="C4" s="982"/>
      <c r="D4" s="982"/>
      <c r="E4" s="982"/>
      <c r="F4" s="982"/>
      <c r="G4" s="982"/>
      <c r="H4" s="982"/>
      <c r="I4" s="983"/>
    </row>
    <row r="5" spans="1:9" ht="16.5" thickTop="1" x14ac:dyDescent="0.25">
      <c r="A5" s="356"/>
      <c r="B5" s="357"/>
      <c r="C5" s="47"/>
      <c r="D5" s="41"/>
      <c r="E5" s="41"/>
      <c r="F5" s="358"/>
      <c r="G5" s="359"/>
      <c r="H5" s="360"/>
      <c r="I5" s="361"/>
    </row>
    <row r="6" spans="1:9" ht="15.75" x14ac:dyDescent="0.25">
      <c r="A6" s="356"/>
      <c r="B6" s="357" t="s">
        <v>51</v>
      </c>
      <c r="C6" s="47"/>
      <c r="D6" s="41"/>
      <c r="E6" s="41"/>
      <c r="F6" s="358"/>
      <c r="G6" s="359"/>
      <c r="H6" s="360"/>
      <c r="I6" s="361"/>
    </row>
    <row r="7" spans="1:9" ht="15.75" x14ac:dyDescent="0.25">
      <c r="A7" s="356"/>
      <c r="B7" s="357"/>
      <c r="C7" s="47"/>
      <c r="D7" s="362" t="s">
        <v>310</v>
      </c>
      <c r="E7" s="362"/>
      <c r="F7" s="359"/>
      <c r="G7" s="359" t="s">
        <v>311</v>
      </c>
      <c r="H7" s="363">
        <f>'LABA RUGI'!N7</f>
        <v>18502660676.99099</v>
      </c>
      <c r="I7" s="361"/>
    </row>
    <row r="8" spans="1:9" ht="15.75" x14ac:dyDescent="0.25">
      <c r="A8" s="356"/>
      <c r="B8" s="357"/>
      <c r="C8" s="47"/>
      <c r="D8" s="362"/>
      <c r="E8" s="362"/>
      <c r="F8" s="359"/>
      <c r="G8" s="359"/>
      <c r="H8" s="363"/>
      <c r="I8" s="361"/>
    </row>
    <row r="9" spans="1:9" ht="15.75" x14ac:dyDescent="0.25">
      <c r="A9" s="356"/>
      <c r="B9" s="357" t="s">
        <v>15</v>
      </c>
      <c r="C9" s="47"/>
      <c r="D9" s="41"/>
      <c r="E9" s="41"/>
      <c r="F9" s="359"/>
      <c r="G9" s="359"/>
      <c r="H9" s="363"/>
      <c r="I9" s="361"/>
    </row>
    <row r="10" spans="1:9" ht="15.75" x14ac:dyDescent="0.25">
      <c r="A10" s="356"/>
      <c r="B10" s="357"/>
      <c r="C10" s="47"/>
      <c r="D10" s="362" t="s">
        <v>312</v>
      </c>
      <c r="E10" s="362" t="s">
        <v>311</v>
      </c>
      <c r="F10" s="359">
        <f>'LABA RUGI'!N11</f>
        <v>4389764532.9752102</v>
      </c>
      <c r="G10" s="359"/>
      <c r="H10" s="363"/>
      <c r="I10" s="361"/>
    </row>
    <row r="11" spans="1:9" ht="15.75" x14ac:dyDescent="0.25">
      <c r="A11" s="356"/>
      <c r="B11" s="357"/>
      <c r="C11" s="47"/>
      <c r="D11" s="362" t="s">
        <v>313</v>
      </c>
      <c r="E11" s="362" t="s">
        <v>311</v>
      </c>
      <c r="F11" s="364">
        <f>'LABA RUGI'!N12</f>
        <v>17798608714.264946</v>
      </c>
      <c r="G11" s="359"/>
      <c r="H11" s="363"/>
      <c r="I11" s="361"/>
    </row>
    <row r="12" spans="1:9" ht="15.75" x14ac:dyDescent="0.25">
      <c r="A12" s="356"/>
      <c r="B12" s="357"/>
      <c r="C12" s="47"/>
      <c r="D12" s="362" t="s">
        <v>314</v>
      </c>
      <c r="E12" s="365" t="s">
        <v>311</v>
      </c>
      <c r="F12" s="366">
        <f>SUM(F10:F11)</f>
        <v>22188373247.240158</v>
      </c>
      <c r="G12" s="359"/>
      <c r="H12" s="363"/>
      <c r="I12" s="361"/>
    </row>
    <row r="13" spans="1:9" ht="15.75" x14ac:dyDescent="0.25">
      <c r="A13" s="356"/>
      <c r="B13" s="357"/>
      <c r="C13" s="47"/>
      <c r="D13" s="362" t="s">
        <v>315</v>
      </c>
      <c r="E13" s="362" t="s">
        <v>311</v>
      </c>
      <c r="F13" s="367">
        <f>-'LABA RUGI'!N15</f>
        <v>0</v>
      </c>
      <c r="G13" s="359"/>
      <c r="H13" s="363"/>
      <c r="I13" s="361"/>
    </row>
    <row r="14" spans="1:9" ht="15.75" x14ac:dyDescent="0.25">
      <c r="A14" s="356"/>
      <c r="B14" s="357"/>
      <c r="C14" s="47"/>
      <c r="D14" s="362"/>
      <c r="E14" s="362"/>
      <c r="F14" s="359"/>
      <c r="G14" s="359" t="s">
        <v>311</v>
      </c>
      <c r="H14" s="363">
        <f>-SUM(F12:F13)</f>
        <v>-22188373247.240158</v>
      </c>
      <c r="I14" s="361"/>
    </row>
    <row r="15" spans="1:9" ht="15.75" x14ac:dyDescent="0.25">
      <c r="A15" s="356"/>
      <c r="B15" s="357"/>
      <c r="C15" s="47"/>
      <c r="D15" s="41"/>
      <c r="E15" s="41"/>
      <c r="F15" s="359"/>
      <c r="G15" s="366"/>
      <c r="H15" s="368"/>
      <c r="I15" s="361"/>
    </row>
    <row r="16" spans="1:9" ht="15.75" x14ac:dyDescent="0.25">
      <c r="A16" s="369"/>
      <c r="C16" s="47"/>
      <c r="D16" s="980" t="s">
        <v>20</v>
      </c>
      <c r="E16" s="980"/>
      <c r="F16" s="370"/>
      <c r="G16" s="359" t="s">
        <v>311</v>
      </c>
      <c r="H16" s="363">
        <f>SUM(H7:H14)</f>
        <v>-3685712570.2491684</v>
      </c>
      <c r="I16" s="371"/>
    </row>
    <row r="17" spans="1:9" ht="15.75" x14ac:dyDescent="0.25">
      <c r="A17" s="356"/>
      <c r="B17" s="357"/>
      <c r="C17" s="47"/>
      <c r="D17" s="41"/>
      <c r="E17" s="41"/>
      <c r="F17" s="359"/>
      <c r="G17" s="359"/>
      <c r="H17" s="363"/>
      <c r="I17" s="361"/>
    </row>
    <row r="18" spans="1:9" ht="15.75" x14ac:dyDescent="0.25">
      <c r="A18" s="356"/>
      <c r="B18" s="357" t="s">
        <v>316</v>
      </c>
      <c r="C18" s="47"/>
      <c r="D18" s="41"/>
      <c r="E18" s="41"/>
      <c r="F18" s="372"/>
      <c r="G18" s="359"/>
      <c r="H18" s="363"/>
      <c r="I18" s="361"/>
    </row>
    <row r="19" spans="1:9" ht="15.75" x14ac:dyDescent="0.25">
      <c r="A19" s="356"/>
      <c r="B19" s="357"/>
      <c r="C19" s="47"/>
      <c r="D19" s="41" t="s">
        <v>336</v>
      </c>
      <c r="E19" s="362" t="s">
        <v>311</v>
      </c>
      <c r="F19" s="372">
        <f>'LABA RUGI'!N19+'LABA RUGI'!N23</f>
        <v>551424000</v>
      </c>
      <c r="G19" s="363"/>
      <c r="H19" s="363"/>
      <c r="I19" s="361"/>
    </row>
    <row r="20" spans="1:9" ht="15.75" x14ac:dyDescent="0.25">
      <c r="A20" s="356"/>
      <c r="B20" s="357"/>
      <c r="C20" s="47"/>
      <c r="D20" s="41" t="s">
        <v>317</v>
      </c>
      <c r="E20" s="362" t="s">
        <v>311</v>
      </c>
      <c r="F20" s="372">
        <f>'LABA RUGI'!N25</f>
        <v>5880650</v>
      </c>
      <c r="G20" s="363"/>
      <c r="H20" s="363"/>
      <c r="I20" s="361"/>
    </row>
    <row r="21" spans="1:9" ht="15.75" x14ac:dyDescent="0.25">
      <c r="A21" s="356"/>
      <c r="B21" s="357"/>
      <c r="C21" s="47"/>
      <c r="D21" s="41" t="s">
        <v>318</v>
      </c>
      <c r="E21" s="362" t="s">
        <v>311</v>
      </c>
      <c r="F21" s="372">
        <f>'LABA RUGI'!N26</f>
        <v>2498000</v>
      </c>
      <c r="G21" s="363"/>
      <c r="H21" s="363"/>
      <c r="I21" s="361"/>
    </row>
    <row r="22" spans="1:9" ht="15.75" x14ac:dyDescent="0.25">
      <c r="A22" s="356"/>
      <c r="B22" s="357"/>
      <c r="C22" s="47"/>
      <c r="D22" s="41" t="s">
        <v>319</v>
      </c>
      <c r="E22" s="362" t="s">
        <v>311</v>
      </c>
      <c r="F22" s="372">
        <f>'LABA RUGI'!N27</f>
        <v>6183320</v>
      </c>
      <c r="G22" s="363"/>
      <c r="H22" s="363"/>
      <c r="I22" s="361"/>
    </row>
    <row r="23" spans="1:9" ht="15.75" x14ac:dyDescent="0.25">
      <c r="A23" s="356"/>
      <c r="B23" s="357"/>
      <c r="C23" s="47"/>
      <c r="D23" s="41" t="s">
        <v>204</v>
      </c>
      <c r="E23" s="362" t="s">
        <v>311</v>
      </c>
      <c r="F23" s="372">
        <f>'LABA RUGI'!N28</f>
        <v>77602210</v>
      </c>
      <c r="G23" s="363"/>
      <c r="H23" s="363"/>
      <c r="I23" s="361"/>
    </row>
    <row r="24" spans="1:9" ht="15.75" x14ac:dyDescent="0.25">
      <c r="A24" s="356"/>
      <c r="B24" s="357"/>
      <c r="C24" s="47"/>
      <c r="D24" s="41" t="s">
        <v>320</v>
      </c>
      <c r="E24" s="362" t="s">
        <v>311</v>
      </c>
      <c r="F24" s="372">
        <f>'LABA RUGI'!N29</f>
        <v>28496000</v>
      </c>
      <c r="G24" s="363"/>
      <c r="H24" s="363"/>
      <c r="I24" s="361"/>
    </row>
    <row r="25" spans="1:9" ht="15.75" x14ac:dyDescent="0.25">
      <c r="A25" s="356"/>
      <c r="B25" s="357"/>
      <c r="C25" s="47"/>
      <c r="D25" s="41" t="s">
        <v>321</v>
      </c>
      <c r="E25" s="362" t="s">
        <v>311</v>
      </c>
      <c r="F25" s="372">
        <f>'LABA RUGI'!N30</f>
        <v>11743834</v>
      </c>
      <c r="G25" s="363"/>
      <c r="H25" s="363"/>
      <c r="I25" s="361"/>
    </row>
    <row r="26" spans="1:9" ht="15.75" x14ac:dyDescent="0.25">
      <c r="A26" s="356"/>
      <c r="B26" s="357"/>
      <c r="C26" s="47"/>
      <c r="D26" s="41" t="s">
        <v>322</v>
      </c>
      <c r="E26" s="362" t="s">
        <v>311</v>
      </c>
      <c r="F26" s="372">
        <f>'LABA RUGI'!N31</f>
        <v>49422982</v>
      </c>
      <c r="G26" s="363"/>
      <c r="H26" s="363"/>
      <c r="I26" s="361"/>
    </row>
    <row r="27" spans="1:9" ht="15.75" x14ac:dyDescent="0.25">
      <c r="A27" s="356"/>
      <c r="B27" s="357"/>
      <c r="C27" s="47"/>
      <c r="D27" s="41" t="s">
        <v>323</v>
      </c>
      <c r="E27" s="362" t="s">
        <v>311</v>
      </c>
      <c r="F27" s="372">
        <f>'LABA RUGI'!N32</f>
        <v>8527500</v>
      </c>
      <c r="G27" s="363"/>
      <c r="H27" s="363"/>
      <c r="I27" s="361"/>
    </row>
    <row r="28" spans="1:9" ht="15.75" x14ac:dyDescent="0.25">
      <c r="A28" s="356"/>
      <c r="B28" s="357"/>
      <c r="C28" s="47"/>
      <c r="D28" s="41" t="s">
        <v>324</v>
      </c>
      <c r="E28" s="362" t="s">
        <v>311</v>
      </c>
      <c r="F28" s="372">
        <f>'LABA RUGI'!N33</f>
        <v>5480154</v>
      </c>
      <c r="G28" s="363"/>
      <c r="H28" s="363"/>
      <c r="I28" s="361"/>
    </row>
    <row r="29" spans="1:9" ht="15.75" x14ac:dyDescent="0.25">
      <c r="A29" s="356"/>
      <c r="B29" s="357"/>
      <c r="C29" s="47"/>
      <c r="D29" s="41" t="s">
        <v>325</v>
      </c>
      <c r="E29" s="362" t="s">
        <v>311</v>
      </c>
      <c r="F29" s="372">
        <f>'LABA RUGI'!N34</f>
        <v>97127910</v>
      </c>
      <c r="G29" s="363"/>
      <c r="H29" s="363"/>
      <c r="I29" s="361"/>
    </row>
    <row r="30" spans="1:9" ht="15.75" x14ac:dyDescent="0.25">
      <c r="A30" s="356"/>
      <c r="B30" s="357"/>
      <c r="C30" s="47"/>
      <c r="D30" s="41" t="s">
        <v>326</v>
      </c>
      <c r="E30" s="362" t="s">
        <v>311</v>
      </c>
      <c r="F30" s="372">
        <f>'LABA RUGI'!N35</f>
        <v>24149052</v>
      </c>
      <c r="G30" s="363"/>
      <c r="H30" s="363"/>
      <c r="I30" s="361"/>
    </row>
    <row r="31" spans="1:9" ht="15.75" x14ac:dyDescent="0.25">
      <c r="A31" s="356"/>
      <c r="B31" s="357"/>
      <c r="C31" s="47"/>
      <c r="D31" s="41" t="s">
        <v>327</v>
      </c>
      <c r="E31" s="362" t="s">
        <v>311</v>
      </c>
      <c r="F31" s="372">
        <f>'LABA RUGI'!N22</f>
        <v>32800000</v>
      </c>
      <c r="G31" s="363"/>
      <c r="H31" s="363"/>
      <c r="I31" s="361"/>
    </row>
    <row r="32" spans="1:9" ht="15.75" x14ac:dyDescent="0.25">
      <c r="A32" s="356"/>
      <c r="B32" s="357"/>
      <c r="C32" s="47"/>
      <c r="D32" s="41" t="s">
        <v>328</v>
      </c>
      <c r="E32" s="362" t="s">
        <v>311</v>
      </c>
      <c r="F32" s="372">
        <f>'LABA RUGI'!N36</f>
        <v>742270</v>
      </c>
      <c r="G32" s="363"/>
      <c r="H32" s="363"/>
      <c r="I32" s="361"/>
    </row>
    <row r="33" spans="1:11" ht="15.75" x14ac:dyDescent="0.25">
      <c r="A33" s="356"/>
      <c r="B33" s="357"/>
      <c r="C33" s="47"/>
      <c r="D33" s="41" t="s">
        <v>329</v>
      </c>
      <c r="E33" s="362" t="s">
        <v>311</v>
      </c>
      <c r="F33" s="372">
        <f>'LABA RUGI'!N39</f>
        <v>0</v>
      </c>
      <c r="G33" s="363"/>
      <c r="H33" s="363"/>
      <c r="I33" s="361"/>
    </row>
    <row r="34" spans="1:11" ht="15.75" x14ac:dyDescent="0.25">
      <c r="A34" s="356"/>
      <c r="B34" s="357"/>
      <c r="C34" s="47"/>
      <c r="D34" s="41"/>
      <c r="E34" s="41"/>
      <c r="F34" s="359"/>
      <c r="G34" s="363"/>
      <c r="H34" s="363"/>
      <c r="I34" s="361"/>
    </row>
    <row r="35" spans="1:11" ht="15.75" x14ac:dyDescent="0.25">
      <c r="A35" s="356"/>
      <c r="B35" s="357"/>
      <c r="C35" s="47"/>
      <c r="D35" s="41"/>
      <c r="E35" s="41"/>
      <c r="F35" s="359"/>
      <c r="G35" s="359"/>
      <c r="H35" s="374">
        <f>-SUM(F19:F34)</f>
        <v>-902077882</v>
      </c>
      <c r="I35" s="361"/>
    </row>
    <row r="36" spans="1:11" ht="15.75" x14ac:dyDescent="0.25">
      <c r="A36" s="356"/>
      <c r="B36" s="357"/>
      <c r="C36" s="47"/>
      <c r="D36" s="41"/>
      <c r="E36" s="41"/>
      <c r="F36" s="359"/>
      <c r="G36" s="359"/>
      <c r="H36" s="374"/>
      <c r="I36" s="361"/>
    </row>
    <row r="37" spans="1:11" ht="16.5" thickBot="1" x14ac:dyDescent="0.3">
      <c r="A37" s="369"/>
      <c r="C37" s="47"/>
      <c r="D37" s="980"/>
      <c r="E37" s="980"/>
      <c r="F37" s="370"/>
      <c r="G37" s="370"/>
      <c r="H37" s="375">
        <f>(SUM(H16:H35))</f>
        <v>-4587790452.2491684</v>
      </c>
      <c r="I37" s="371"/>
    </row>
    <row r="38" spans="1:11" ht="16.5" thickTop="1" x14ac:dyDescent="0.25">
      <c r="A38" s="369"/>
      <c r="B38" s="357" t="s">
        <v>330</v>
      </c>
      <c r="C38" s="47"/>
      <c r="D38" s="376"/>
      <c r="E38" s="376"/>
      <c r="F38" s="370"/>
      <c r="G38" s="370"/>
      <c r="H38" s="374"/>
      <c r="I38" s="371"/>
    </row>
    <row r="39" spans="1:11" ht="15.75" x14ac:dyDescent="0.25">
      <c r="A39" s="369"/>
      <c r="B39" s="357"/>
      <c r="C39" s="47"/>
      <c r="D39" s="377" t="s">
        <v>331</v>
      </c>
      <c r="E39" s="362" t="s">
        <v>311</v>
      </c>
      <c r="F39" s="378"/>
      <c r="G39" s="370"/>
      <c r="H39" s="363"/>
      <c r="I39" s="371"/>
      <c r="K39" s="379" t="s">
        <v>332</v>
      </c>
    </row>
    <row r="40" spans="1:11" ht="15.75" x14ac:dyDescent="0.25">
      <c r="A40" s="369"/>
      <c r="C40" s="47"/>
      <c r="D40" s="377" t="s">
        <v>333</v>
      </c>
      <c r="E40" s="362" t="s">
        <v>311</v>
      </c>
      <c r="F40" s="380"/>
      <c r="G40" s="370"/>
      <c r="H40" s="374"/>
      <c r="I40" s="371"/>
    </row>
    <row r="41" spans="1:11" ht="15.75" x14ac:dyDescent="0.25">
      <c r="A41" s="369"/>
      <c r="C41" s="47"/>
      <c r="D41" s="377" t="s">
        <v>334</v>
      </c>
      <c r="E41" s="362" t="s">
        <v>311</v>
      </c>
      <c r="F41" s="380"/>
      <c r="G41" s="370"/>
      <c r="H41" s="374"/>
      <c r="I41" s="371"/>
    </row>
    <row r="42" spans="1:11" ht="15.75" x14ac:dyDescent="0.25">
      <c r="A42" s="369"/>
      <c r="C42" s="47"/>
      <c r="D42" s="376"/>
      <c r="E42" s="376"/>
      <c r="F42" s="370"/>
      <c r="G42" s="370"/>
      <c r="H42" s="363"/>
      <c r="I42" s="371"/>
    </row>
    <row r="43" spans="1:11" ht="15.75" x14ac:dyDescent="0.25">
      <c r="A43" s="369"/>
      <c r="C43" s="47"/>
      <c r="D43" s="376"/>
      <c r="E43" s="376"/>
      <c r="F43" s="370"/>
      <c r="G43" s="370"/>
      <c r="H43" s="374"/>
      <c r="I43" s="371"/>
    </row>
    <row r="44" spans="1:11" ht="16.5" thickBot="1" x14ac:dyDescent="0.3">
      <c r="A44" s="369"/>
      <c r="C44" s="47"/>
      <c r="D44" s="376" t="s">
        <v>335</v>
      </c>
      <c r="E44" s="376"/>
      <c r="F44" s="370"/>
      <c r="G44" s="370"/>
      <c r="H44" s="375">
        <f>TRUNC(SUM(H37:H42))</f>
        <v>-4587790452</v>
      </c>
      <c r="I44" s="371"/>
    </row>
    <row r="45" spans="1:11" ht="17.25" thickTop="1" thickBot="1" x14ac:dyDescent="0.3">
      <c r="A45" s="381"/>
      <c r="B45" s="382"/>
      <c r="C45" s="383"/>
      <c r="D45" s="384"/>
      <c r="E45" s="384"/>
      <c r="F45" s="385"/>
      <c r="G45" s="386"/>
      <c r="H45" s="387"/>
      <c r="I45" s="388"/>
    </row>
    <row r="46" spans="1:11" x14ac:dyDescent="0.25">
      <c r="F46" s="389"/>
      <c r="G46" s="390"/>
      <c r="H46" s="389"/>
    </row>
    <row r="47" spans="1:11" x14ac:dyDescent="0.25">
      <c r="F47" s="993" t="s">
        <v>402</v>
      </c>
      <c r="G47" s="979"/>
      <c r="H47" s="979"/>
      <c r="I47" s="979"/>
    </row>
    <row r="48" spans="1:11" x14ac:dyDescent="0.25">
      <c r="F48" s="975" t="str">
        <f>[3]NERACA!K34</f>
        <v>CV. ARTO MORO</v>
      </c>
      <c r="G48" s="976"/>
      <c r="H48" s="976"/>
      <c r="I48" s="976"/>
    </row>
    <row r="49" spans="6:9" x14ac:dyDescent="0.25">
      <c r="F49" s="391"/>
      <c r="G49" s="392"/>
      <c r="H49" s="391"/>
      <c r="I49" s="211"/>
    </row>
    <row r="50" spans="6:9" x14ac:dyDescent="0.25">
      <c r="F50" s="391"/>
      <c r="G50" s="392"/>
      <c r="H50" s="391"/>
      <c r="I50" s="211"/>
    </row>
    <row r="51" spans="6:9" x14ac:dyDescent="0.25">
      <c r="F51" s="391"/>
      <c r="G51" s="392"/>
      <c r="H51" s="391"/>
      <c r="I51" s="211"/>
    </row>
    <row r="52" spans="6:9" x14ac:dyDescent="0.25">
      <c r="F52" s="391"/>
      <c r="G52" s="392"/>
      <c r="H52" s="391"/>
      <c r="I52" s="211"/>
    </row>
    <row r="53" spans="6:9" x14ac:dyDescent="0.25">
      <c r="F53" s="391"/>
      <c r="G53" s="392"/>
      <c r="H53" s="391"/>
      <c r="I53" s="211"/>
    </row>
    <row r="54" spans="6:9" x14ac:dyDescent="0.25">
      <c r="F54" s="977" t="str">
        <f>[3]NERACA!K39</f>
        <v>SUDIARTO</v>
      </c>
      <c r="G54" s="978"/>
      <c r="H54" s="978"/>
      <c r="I54" s="978"/>
    </row>
    <row r="55" spans="6:9" x14ac:dyDescent="0.25">
      <c r="F55" s="979" t="str">
        <f>[3]NERACA!K40</f>
        <v>DIREKTUR</v>
      </c>
      <c r="G55" s="979"/>
      <c r="H55" s="979"/>
      <c r="I55" s="979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A4:I4"/>
    <mergeCell ref="A3:I3"/>
    <mergeCell ref="A2:I2"/>
    <mergeCell ref="A1:I1"/>
    <mergeCell ref="F47:I47"/>
    <mergeCell ref="F48:I48"/>
    <mergeCell ref="F54:I54"/>
    <mergeCell ref="F55:I55"/>
    <mergeCell ref="D16:E16"/>
    <mergeCell ref="D37:E37"/>
  </mergeCells>
  <pageMargins left="0.12" right="0.12" top="0.75" bottom="0.75" header="0.3" footer="0.3"/>
  <pageSetup paperSize="14" orientation="portrait" horizontalDpi="4294967293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16" workbookViewId="0">
      <selection activeCell="F29" sqref="F29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3"/>
      <c r="B1" s="394"/>
      <c r="C1" s="393"/>
      <c r="D1" s="393"/>
      <c r="E1" s="393"/>
      <c r="F1" s="395"/>
      <c r="G1" s="359"/>
      <c r="H1" s="359"/>
      <c r="I1" s="359"/>
      <c r="J1" s="359"/>
      <c r="K1" s="359"/>
      <c r="L1" s="359"/>
      <c r="M1" s="395"/>
      <c r="N1" s="393"/>
    </row>
    <row r="2" spans="1:22" ht="18" x14ac:dyDescent="0.25">
      <c r="A2" s="999" t="s">
        <v>292</v>
      </c>
      <c r="B2" s="999"/>
      <c r="C2" s="999"/>
      <c r="D2" s="999"/>
      <c r="E2" s="999"/>
      <c r="F2" s="999"/>
      <c r="G2" s="999"/>
      <c r="H2" s="999"/>
      <c r="I2" s="999"/>
      <c r="J2" s="999"/>
      <c r="K2" s="999"/>
      <c r="L2" s="999"/>
      <c r="M2" s="999"/>
      <c r="N2" s="393"/>
    </row>
    <row r="3" spans="1:22" ht="15.75" x14ac:dyDescent="0.25">
      <c r="A3" s="1000" t="s">
        <v>337</v>
      </c>
      <c r="B3" s="1000"/>
      <c r="C3" s="1000"/>
      <c r="D3" s="1000"/>
      <c r="E3" s="1000"/>
      <c r="F3" s="1000"/>
      <c r="G3" s="1000"/>
      <c r="H3" s="1000"/>
      <c r="I3" s="1000"/>
      <c r="J3" s="1000"/>
      <c r="K3" s="1000"/>
      <c r="L3" s="1000"/>
      <c r="M3" s="1000"/>
      <c r="N3" s="393"/>
    </row>
    <row r="4" spans="1:22" x14ac:dyDescent="0.25">
      <c r="A4" s="1001" t="s">
        <v>338</v>
      </c>
      <c r="B4" s="1001"/>
      <c r="C4" s="1001"/>
      <c r="D4" s="1001"/>
      <c r="E4" s="1001"/>
      <c r="F4" s="1001"/>
      <c r="G4" s="1001"/>
      <c r="H4" s="1001"/>
      <c r="I4" s="1001"/>
      <c r="J4" s="1001"/>
      <c r="K4" s="1001"/>
      <c r="L4" s="1001"/>
      <c r="M4" s="1001"/>
      <c r="N4" s="393"/>
    </row>
    <row r="5" spans="1:22" x14ac:dyDescent="0.25">
      <c r="A5" s="1001" t="s">
        <v>401</v>
      </c>
      <c r="B5" s="1001"/>
      <c r="C5" s="1001"/>
      <c r="D5" s="1001"/>
      <c r="E5" s="1001"/>
      <c r="F5" s="1001"/>
      <c r="G5" s="1001"/>
      <c r="H5" s="1001"/>
      <c r="I5" s="1001"/>
      <c r="J5" s="1001"/>
      <c r="K5" s="1001"/>
      <c r="L5" s="1001"/>
      <c r="M5" s="1001"/>
      <c r="N5" s="393"/>
    </row>
    <row r="6" spans="1:22" x14ac:dyDescent="0.25">
      <c r="A6" s="1001" t="s">
        <v>339</v>
      </c>
      <c r="B6" s="1001"/>
      <c r="C6" s="1001"/>
      <c r="D6" s="1001"/>
      <c r="E6" s="1001"/>
      <c r="F6" s="1001"/>
      <c r="G6" s="1001"/>
      <c r="H6" s="1001"/>
      <c r="I6" s="1001"/>
      <c r="J6" s="1001"/>
      <c r="K6" s="1001"/>
      <c r="L6" s="1001"/>
      <c r="M6" s="1001"/>
      <c r="N6" s="393"/>
    </row>
    <row r="7" spans="1:22" x14ac:dyDescent="0.25">
      <c r="A7" s="393"/>
      <c r="B7" s="396"/>
      <c r="C7" s="396"/>
      <c r="D7" s="396"/>
      <c r="E7" s="396"/>
      <c r="F7" s="397"/>
      <c r="G7" s="398"/>
      <c r="H7" s="398"/>
      <c r="I7" s="398"/>
      <c r="J7" s="398"/>
      <c r="K7" s="398"/>
      <c r="L7" s="398"/>
      <c r="M7" s="397"/>
      <c r="N7" s="393"/>
    </row>
    <row r="8" spans="1:22" ht="15.75" thickBot="1" x14ac:dyDescent="0.3">
      <c r="A8" s="393"/>
      <c r="B8" s="394"/>
      <c r="C8" s="393"/>
      <c r="D8" s="393"/>
      <c r="E8" s="393"/>
      <c r="F8" s="395"/>
      <c r="G8" s="359"/>
      <c r="H8" s="359"/>
      <c r="I8" s="359"/>
      <c r="J8" s="359"/>
      <c r="K8" s="359"/>
      <c r="L8" s="359"/>
      <c r="M8" s="395"/>
      <c r="N8" s="393"/>
    </row>
    <row r="9" spans="1:22" x14ac:dyDescent="0.25">
      <c r="A9" s="399"/>
      <c r="B9" s="400"/>
      <c r="C9" s="399"/>
      <c r="D9" s="399"/>
      <c r="E9" s="399"/>
      <c r="F9" s="401"/>
      <c r="G9" s="366"/>
      <c r="H9" s="402"/>
      <c r="I9" s="366"/>
      <c r="J9" s="366"/>
      <c r="K9" s="366"/>
      <c r="L9" s="366"/>
      <c r="M9" s="401"/>
      <c r="N9" s="399"/>
      <c r="P9" s="994" t="s">
        <v>340</v>
      </c>
      <c r="Q9" s="995"/>
      <c r="R9" s="995"/>
      <c r="S9" s="995"/>
      <c r="T9" s="995"/>
      <c r="U9" s="995"/>
      <c r="V9" s="996"/>
    </row>
    <row r="10" spans="1:22" x14ac:dyDescent="0.25">
      <c r="A10" s="393"/>
      <c r="B10" s="394" t="s">
        <v>341</v>
      </c>
      <c r="C10" s="393"/>
      <c r="D10" s="393"/>
      <c r="E10" s="393"/>
      <c r="F10" s="395"/>
      <c r="G10" s="359"/>
      <c r="H10" s="403"/>
      <c r="I10" s="370" t="s">
        <v>342</v>
      </c>
      <c r="J10" s="359"/>
      <c r="K10" s="359"/>
      <c r="L10" s="359"/>
      <c r="M10" s="395"/>
      <c r="N10" s="393"/>
      <c r="P10" s="404"/>
      <c r="Q10" s="405"/>
      <c r="R10" s="405"/>
      <c r="S10" s="405"/>
      <c r="T10" s="405"/>
      <c r="U10" s="405"/>
      <c r="V10" s="406"/>
    </row>
    <row r="11" spans="1:22" x14ac:dyDescent="0.25">
      <c r="A11" s="393"/>
      <c r="B11" s="394"/>
      <c r="C11" s="393" t="s">
        <v>343</v>
      </c>
      <c r="D11" s="393"/>
      <c r="E11" s="407" t="s">
        <v>311</v>
      </c>
      <c r="F11" s="408"/>
      <c r="G11" s="409"/>
      <c r="H11" s="410"/>
      <c r="I11" s="393"/>
      <c r="J11" s="393" t="s">
        <v>344</v>
      </c>
      <c r="K11" s="333"/>
      <c r="L11" s="393" t="s">
        <v>311</v>
      </c>
      <c r="M11" s="411"/>
      <c r="N11" s="393"/>
      <c r="P11" s="404">
        <v>1</v>
      </c>
      <c r="Q11" s="405" t="s">
        <v>345</v>
      </c>
      <c r="R11" s="405"/>
      <c r="S11" s="405"/>
      <c r="T11" s="405"/>
      <c r="U11" s="405"/>
      <c r="V11" s="406"/>
    </row>
    <row r="12" spans="1:22" x14ac:dyDescent="0.25">
      <c r="A12" s="393"/>
      <c r="B12" s="394"/>
      <c r="C12" s="393" t="s">
        <v>346</v>
      </c>
      <c r="D12" s="393"/>
      <c r="E12" s="407" t="s">
        <v>311</v>
      </c>
      <c r="F12" s="409">
        <f>-LR!F13</f>
        <v>0</v>
      </c>
      <c r="G12" s="333"/>
      <c r="H12" s="410"/>
      <c r="I12" s="393"/>
      <c r="J12" s="393" t="s">
        <v>347</v>
      </c>
      <c r="K12" s="393"/>
      <c r="L12" s="393" t="s">
        <v>311</v>
      </c>
      <c r="M12" s="411"/>
      <c r="N12" s="393"/>
      <c r="P12" s="404">
        <v>2</v>
      </c>
      <c r="Q12" s="405" t="s">
        <v>348</v>
      </c>
      <c r="R12" s="405"/>
      <c r="S12" s="405"/>
      <c r="T12" s="405"/>
      <c r="U12" s="405"/>
      <c r="V12" s="406"/>
    </row>
    <row r="13" spans="1:22" x14ac:dyDescent="0.25">
      <c r="A13" s="393"/>
      <c r="B13" s="394"/>
      <c r="C13" s="393" t="s">
        <v>349</v>
      </c>
      <c r="D13" s="393"/>
      <c r="E13" s="407" t="s">
        <v>311</v>
      </c>
      <c r="F13" s="411"/>
      <c r="G13" s="409"/>
      <c r="H13" s="410"/>
      <c r="I13" s="393"/>
      <c r="J13" s="393"/>
      <c r="K13" s="393"/>
      <c r="L13" s="393"/>
      <c r="M13" s="393"/>
      <c r="N13" s="393"/>
      <c r="P13" s="404">
        <v>3</v>
      </c>
      <c r="Q13" s="405" t="s">
        <v>350</v>
      </c>
      <c r="R13" s="405"/>
      <c r="S13" s="405"/>
      <c r="T13" s="405"/>
      <c r="U13" s="405"/>
      <c r="V13" s="406"/>
    </row>
    <row r="14" spans="1:22" ht="16.5" x14ac:dyDescent="0.3">
      <c r="A14" s="393"/>
      <c r="B14" s="394"/>
      <c r="C14" s="393"/>
      <c r="D14" s="393"/>
      <c r="E14" s="407"/>
      <c r="F14" s="409"/>
      <c r="G14" s="409"/>
      <c r="H14" s="410"/>
      <c r="I14" s="393"/>
      <c r="J14" s="333"/>
      <c r="K14" s="333"/>
      <c r="L14" s="333"/>
      <c r="M14" s="412"/>
      <c r="N14" s="393"/>
      <c r="P14" s="404">
        <v>4</v>
      </c>
      <c r="Q14" s="405" t="s">
        <v>351</v>
      </c>
      <c r="R14" s="405"/>
      <c r="S14" s="405"/>
      <c r="T14" s="405"/>
      <c r="U14" s="405"/>
      <c r="V14" s="406"/>
    </row>
    <row r="15" spans="1:22" x14ac:dyDescent="0.25">
      <c r="A15" s="393"/>
      <c r="B15" s="394"/>
      <c r="C15" s="393"/>
      <c r="D15" s="393"/>
      <c r="E15" s="407"/>
      <c r="F15" s="413"/>
      <c r="G15" s="393"/>
      <c r="H15" s="410"/>
      <c r="I15" s="393"/>
      <c r="J15" s="393"/>
      <c r="K15" s="393"/>
      <c r="L15" s="393"/>
      <c r="M15" s="414"/>
      <c r="N15" s="393"/>
      <c r="P15" s="404">
        <v>5</v>
      </c>
      <c r="Q15" s="405" t="s">
        <v>352</v>
      </c>
      <c r="R15" s="405"/>
      <c r="S15" s="405"/>
      <c r="T15" s="405"/>
      <c r="U15" s="405"/>
      <c r="V15" s="406"/>
    </row>
    <row r="16" spans="1:22" ht="15.75" thickBot="1" x14ac:dyDescent="0.3">
      <c r="A16" s="393"/>
      <c r="B16" s="394" t="s">
        <v>353</v>
      </c>
      <c r="C16" s="393"/>
      <c r="D16" s="393"/>
      <c r="E16" s="415" t="s">
        <v>311</v>
      </c>
      <c r="F16" s="416">
        <f>SUM(F11:F15)</f>
        <v>0</v>
      </c>
      <c r="G16" s="394"/>
      <c r="H16" s="410"/>
      <c r="I16" s="394" t="s">
        <v>354</v>
      </c>
      <c r="J16" s="393"/>
      <c r="K16" s="393"/>
      <c r="L16" s="394" t="s">
        <v>311</v>
      </c>
      <c r="M16" s="394">
        <f>SUM(M10:M15)</f>
        <v>0</v>
      </c>
      <c r="N16" s="393"/>
      <c r="P16" s="417"/>
      <c r="Q16" s="418"/>
      <c r="R16" s="418"/>
      <c r="S16" s="418"/>
      <c r="T16" s="418"/>
      <c r="U16" s="418"/>
      <c r="V16" s="419"/>
    </row>
    <row r="17" spans="1:22" x14ac:dyDescent="0.25">
      <c r="A17" s="393"/>
      <c r="B17" s="394"/>
      <c r="C17" s="393"/>
      <c r="D17" s="393"/>
      <c r="E17" s="407"/>
      <c r="F17" s="416"/>
      <c r="G17" s="394"/>
      <c r="H17" s="410"/>
      <c r="I17" s="394"/>
      <c r="J17" s="393"/>
      <c r="K17" s="393"/>
      <c r="L17" s="393"/>
      <c r="M17" s="393"/>
      <c r="N17" s="393"/>
      <c r="V17" s="420"/>
    </row>
    <row r="18" spans="1:22" x14ac:dyDescent="0.25">
      <c r="A18" s="393"/>
      <c r="B18" s="394"/>
      <c r="C18" s="393"/>
      <c r="D18" s="393"/>
      <c r="E18" s="407"/>
      <c r="F18" s="416"/>
      <c r="G18" s="394"/>
      <c r="H18" s="410"/>
      <c r="I18" s="394"/>
      <c r="J18" s="393"/>
      <c r="K18" s="393"/>
      <c r="L18" s="393"/>
      <c r="M18" s="393"/>
      <c r="N18" s="393"/>
    </row>
    <row r="19" spans="1:22" x14ac:dyDescent="0.25">
      <c r="A19" s="393"/>
      <c r="B19" s="394"/>
      <c r="C19" s="393"/>
      <c r="D19" s="393"/>
      <c r="E19" s="407"/>
      <c r="F19" s="416"/>
      <c r="G19" s="394"/>
      <c r="H19" s="410"/>
      <c r="I19" s="394"/>
      <c r="J19" s="393"/>
      <c r="K19" s="393"/>
      <c r="L19" s="393"/>
      <c r="M19" s="393"/>
      <c r="N19" s="393"/>
    </row>
    <row r="20" spans="1:22" x14ac:dyDescent="0.25">
      <c r="A20" s="393"/>
      <c r="B20" s="394"/>
      <c r="C20" s="393"/>
      <c r="D20" s="393"/>
      <c r="E20" s="407"/>
      <c r="F20" s="409"/>
      <c r="G20" s="393"/>
      <c r="H20" s="410"/>
      <c r="I20" s="393"/>
      <c r="J20" s="393"/>
      <c r="K20" s="393"/>
      <c r="L20" s="393"/>
      <c r="M20" s="393"/>
      <c r="N20" s="393"/>
    </row>
    <row r="21" spans="1:22" x14ac:dyDescent="0.25">
      <c r="A21" s="393"/>
      <c r="B21" s="394" t="s">
        <v>355</v>
      </c>
      <c r="C21" s="393"/>
      <c r="D21" s="393"/>
      <c r="E21" s="407"/>
      <c r="F21" s="409"/>
      <c r="G21" s="393"/>
      <c r="H21" s="410"/>
      <c r="I21" s="394" t="s">
        <v>356</v>
      </c>
      <c r="J21" s="393"/>
      <c r="K21" s="393"/>
      <c r="L21" s="393"/>
      <c r="M21" s="393"/>
      <c r="N21" s="393"/>
    </row>
    <row r="22" spans="1:22" x14ac:dyDescent="0.25">
      <c r="A22" s="393"/>
      <c r="B22" s="394"/>
      <c r="C22" s="393"/>
      <c r="E22" s="407"/>
      <c r="F22" s="421"/>
      <c r="G22" s="393"/>
      <c r="H22" s="410"/>
      <c r="I22" s="393"/>
      <c r="J22" s="393" t="s">
        <v>357</v>
      </c>
      <c r="K22" s="393"/>
      <c r="L22" s="393" t="s">
        <v>311</v>
      </c>
      <c r="M22" s="393">
        <v>500000000</v>
      </c>
      <c r="N22" s="393"/>
    </row>
    <row r="23" spans="1:22" x14ac:dyDescent="0.25">
      <c r="A23" s="393"/>
      <c r="B23" s="394"/>
      <c r="C23" s="393" t="s">
        <v>358</v>
      </c>
      <c r="E23" s="407" t="s">
        <v>311</v>
      </c>
      <c r="F23" s="421">
        <v>288950000</v>
      </c>
      <c r="G23" s="393"/>
      <c r="H23" s="410"/>
      <c r="I23" s="393"/>
      <c r="J23" s="393" t="s">
        <v>359</v>
      </c>
      <c r="K23" s="393"/>
      <c r="L23" s="393" t="s">
        <v>311</v>
      </c>
      <c r="M23" s="393">
        <v>290018243</v>
      </c>
      <c r="N23" s="393"/>
    </row>
    <row r="24" spans="1:22" x14ac:dyDescent="0.25">
      <c r="A24" s="393"/>
      <c r="B24" s="394"/>
      <c r="C24" s="393" t="s">
        <v>360</v>
      </c>
      <c r="D24" s="393"/>
      <c r="E24" s="422" t="s">
        <v>311</v>
      </c>
      <c r="F24" s="423">
        <f>SUM(F22:F23)</f>
        <v>288950000</v>
      </c>
      <c r="G24" s="393"/>
      <c r="H24" s="410"/>
      <c r="I24" s="393"/>
      <c r="J24" s="393" t="s">
        <v>361</v>
      </c>
      <c r="K24" s="393"/>
      <c r="L24" s="393" t="s">
        <v>311</v>
      </c>
      <c r="M24" s="393">
        <f>LR!H44</f>
        <v>-4587790452</v>
      </c>
      <c r="N24" s="393"/>
    </row>
    <row r="25" spans="1:22" x14ac:dyDescent="0.25">
      <c r="A25" s="393"/>
      <c r="B25" s="394"/>
      <c r="C25" s="393" t="s">
        <v>362</v>
      </c>
      <c r="D25" s="393"/>
      <c r="E25" s="407" t="s">
        <v>311</v>
      </c>
      <c r="F25" s="421">
        <v>-155522914</v>
      </c>
      <c r="G25" s="393"/>
      <c r="H25" s="410"/>
      <c r="I25" s="393"/>
      <c r="J25" s="393" t="s">
        <v>363</v>
      </c>
      <c r="K25" s="393"/>
      <c r="L25" s="393" t="s">
        <v>311</v>
      </c>
      <c r="M25" s="411">
        <v>0</v>
      </c>
      <c r="N25" s="393"/>
    </row>
    <row r="26" spans="1:22" x14ac:dyDescent="0.25">
      <c r="A26" s="393"/>
      <c r="B26" s="394"/>
      <c r="C26" s="393"/>
      <c r="D26" s="393"/>
      <c r="E26" s="407"/>
      <c r="F26" s="414"/>
      <c r="G26" s="393"/>
      <c r="H26" s="410"/>
      <c r="I26" s="393"/>
      <c r="J26" s="393"/>
      <c r="K26" s="393"/>
      <c r="L26" s="393"/>
      <c r="M26" s="414"/>
      <c r="N26" s="393"/>
    </row>
    <row r="27" spans="1:22" x14ac:dyDescent="0.25">
      <c r="A27" s="393"/>
      <c r="B27" s="393"/>
      <c r="C27" s="394" t="s">
        <v>364</v>
      </c>
      <c r="D27" s="393"/>
      <c r="E27" s="415" t="s">
        <v>311</v>
      </c>
      <c r="F27" s="394">
        <f>SUM(F24:F25)</f>
        <v>133427086</v>
      </c>
      <c r="G27" s="394"/>
      <c r="H27" s="410"/>
      <c r="I27" s="394" t="s">
        <v>365</v>
      </c>
      <c r="J27" s="393"/>
      <c r="K27" s="393"/>
      <c r="L27" s="394" t="s">
        <v>311</v>
      </c>
      <c r="M27" s="394">
        <f>SUM(M22:M25)</f>
        <v>-3797772209</v>
      </c>
      <c r="N27" s="393"/>
    </row>
    <row r="28" spans="1:22" x14ac:dyDescent="0.25">
      <c r="A28" s="393"/>
      <c r="B28" s="394"/>
      <c r="C28" s="393"/>
      <c r="D28" s="393"/>
      <c r="E28" s="407"/>
      <c r="F28" s="393"/>
      <c r="G28" s="393"/>
      <c r="H28" s="410"/>
      <c r="I28" s="393"/>
      <c r="J28" s="393"/>
      <c r="K28" s="393"/>
      <c r="L28" s="393"/>
      <c r="M28" s="393"/>
      <c r="N28" s="393"/>
    </row>
    <row r="29" spans="1:22" ht="15.75" thickBot="1" x14ac:dyDescent="0.3">
      <c r="A29" s="394"/>
      <c r="B29" s="394" t="s">
        <v>366</v>
      </c>
      <c r="C29" s="394"/>
      <c r="D29" s="394"/>
      <c r="E29" s="424" t="s">
        <v>311</v>
      </c>
      <c r="F29" s="425">
        <f>SUM(F16,F27)</f>
        <v>133427086</v>
      </c>
      <c r="G29" s="394"/>
      <c r="H29" s="426"/>
      <c r="I29" s="394" t="s">
        <v>367</v>
      </c>
      <c r="J29" s="394"/>
      <c r="K29" s="394"/>
      <c r="L29" s="425" t="s">
        <v>311</v>
      </c>
      <c r="M29" s="425">
        <f>M16+M27+M19</f>
        <v>-3797772209</v>
      </c>
      <c r="N29" s="394"/>
    </row>
    <row r="30" spans="1:22" ht="15.75" thickTop="1" x14ac:dyDescent="0.25">
      <c r="A30" s="393"/>
      <c r="B30" s="394"/>
      <c r="C30" s="393"/>
      <c r="D30" s="393"/>
      <c r="E30" s="393"/>
      <c r="F30" s="395"/>
      <c r="G30" s="359"/>
      <c r="H30" s="403"/>
      <c r="I30" s="359"/>
      <c r="J30" s="359"/>
      <c r="K30" s="359"/>
      <c r="L30" s="359"/>
      <c r="M30" s="395"/>
      <c r="N30" s="393"/>
    </row>
    <row r="31" spans="1:22" x14ac:dyDescent="0.25">
      <c r="A31" s="414"/>
      <c r="B31" s="427"/>
      <c r="C31" s="414"/>
      <c r="D31" s="414"/>
      <c r="E31" s="414"/>
      <c r="F31" s="428"/>
      <c r="G31" s="373"/>
      <c r="H31" s="429"/>
      <c r="I31" s="373"/>
      <c r="J31" s="373"/>
      <c r="K31" s="430"/>
      <c r="L31" s="430"/>
      <c r="M31" s="431"/>
      <c r="N31" s="414"/>
    </row>
    <row r="32" spans="1:22" x14ac:dyDescent="0.25">
      <c r="A32" s="393"/>
      <c r="B32" s="394"/>
      <c r="C32" s="393"/>
      <c r="D32" s="393"/>
      <c r="E32" s="393"/>
      <c r="F32" s="395"/>
      <c r="G32" s="359"/>
      <c r="H32" s="359"/>
      <c r="I32" s="359"/>
      <c r="J32" s="359"/>
      <c r="K32" s="359"/>
      <c r="L32" s="359"/>
      <c r="M32" s="395"/>
      <c r="N32" s="393"/>
    </row>
    <row r="33" spans="1:14" x14ac:dyDescent="0.25">
      <c r="A33" s="393"/>
      <c r="B33" s="394"/>
      <c r="C33" s="393"/>
      <c r="D33" s="393"/>
      <c r="E33" s="393"/>
      <c r="F33" s="395"/>
      <c r="G33" s="359"/>
      <c r="H33" s="359"/>
      <c r="I33" s="359"/>
      <c r="J33" s="359"/>
      <c r="K33" s="997" t="s">
        <v>402</v>
      </c>
      <c r="L33" s="997"/>
      <c r="M33" s="997"/>
      <c r="N33" s="393"/>
    </row>
    <row r="34" spans="1:14" x14ac:dyDescent="0.25">
      <c r="A34" s="393"/>
      <c r="B34" s="394"/>
      <c r="C34" s="393"/>
      <c r="D34" s="393"/>
      <c r="E34" s="393"/>
      <c r="F34" s="395"/>
      <c r="G34" s="359"/>
      <c r="H34" s="359"/>
      <c r="I34" s="359"/>
      <c r="J34" s="359"/>
      <c r="K34" s="998" t="str">
        <f>A2</f>
        <v>CV. ARTO MORO</v>
      </c>
      <c r="L34" s="998"/>
      <c r="M34" s="998"/>
      <c r="N34" s="393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86" t="s">
        <v>206</v>
      </c>
      <c r="C1" s="886"/>
      <c r="D1" s="886"/>
      <c r="E1" s="886"/>
      <c r="F1" s="886"/>
    </row>
    <row r="2" spans="1:6" ht="18" x14ac:dyDescent="0.2">
      <c r="B2" s="887" t="s">
        <v>171</v>
      </c>
      <c r="C2" s="887"/>
      <c r="D2" s="887"/>
      <c r="E2" s="887"/>
      <c r="F2" s="887"/>
    </row>
    <row r="3" spans="1:6" ht="16.5" thickBot="1" x14ac:dyDescent="0.25">
      <c r="B3" s="888" t="s">
        <v>399</v>
      </c>
      <c r="C3" s="888"/>
      <c r="D3" s="888"/>
      <c r="E3" s="888"/>
      <c r="F3" s="888"/>
    </row>
    <row r="4" spans="1:6" ht="32.25" thickTop="1" x14ac:dyDescent="0.2">
      <c r="A4" s="234" t="s">
        <v>178</v>
      </c>
      <c r="B4" s="232" t="s">
        <v>194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9"/>
  <sheetViews>
    <sheetView showGridLines="0" workbookViewId="0">
      <pane ySplit="4" topLeftCell="A214" activePane="bottomLeft" state="frozen"/>
      <selection pane="bottomLeft" activeCell="J228" sqref="J228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30.7109375" style="291" customWidth="1"/>
    <col min="7" max="8" width="20.7109375" style="291" customWidth="1"/>
    <col min="9" max="9" width="18.28515625" style="291" customWidth="1"/>
    <col min="10" max="10" width="55.7109375" style="530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232</v>
      </c>
    </row>
    <row r="2" spans="1:15" ht="15.75" x14ac:dyDescent="0.25">
      <c r="A2" s="296" t="s">
        <v>293</v>
      </c>
    </row>
    <row r="3" spans="1:15" ht="15.75" x14ac:dyDescent="0.25">
      <c r="A3" s="296" t="s">
        <v>291</v>
      </c>
    </row>
    <row r="4" spans="1:15" s="254" customFormat="1" ht="15.75" x14ac:dyDescent="0.25">
      <c r="A4" s="266" t="s">
        <v>32</v>
      </c>
      <c r="B4" s="267" t="s">
        <v>33</v>
      </c>
      <c r="C4" s="890" t="s">
        <v>290</v>
      </c>
      <c r="D4" s="891"/>
      <c r="E4" s="891"/>
      <c r="F4" s="892"/>
      <c r="G4" s="266" t="s">
        <v>34</v>
      </c>
      <c r="H4" s="266" t="s">
        <v>35</v>
      </c>
      <c r="I4" s="266" t="s">
        <v>36</v>
      </c>
      <c r="J4" s="531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93" t="s">
        <v>3170</v>
      </c>
      <c r="D5" s="894"/>
      <c r="E5" s="894"/>
      <c r="F5" s="895"/>
      <c r="G5" s="269"/>
      <c r="H5" s="269"/>
      <c r="I5" s="269"/>
      <c r="J5" s="532"/>
    </row>
    <row r="6" spans="1:15" x14ac:dyDescent="0.25">
      <c r="A6" s="270">
        <v>1</v>
      </c>
      <c r="B6" s="271"/>
      <c r="C6" s="255" t="s">
        <v>300</v>
      </c>
      <c r="D6" s="251"/>
      <c r="E6" s="251"/>
      <c r="F6" s="249"/>
      <c r="G6" s="272"/>
      <c r="H6" s="272"/>
      <c r="I6" s="710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3171</v>
      </c>
      <c r="D7" s="250" t="s">
        <v>3172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3173</v>
      </c>
      <c r="D8" s="250" t="s">
        <v>3174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3175</v>
      </c>
      <c r="D9" s="282" t="s">
        <v>3176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3177</v>
      </c>
      <c r="D10" s="251" t="s">
        <v>3178</v>
      </c>
      <c r="E10" s="251" t="s">
        <v>3179</v>
      </c>
      <c r="F10" s="249"/>
      <c r="G10" s="272"/>
      <c r="H10" s="272">
        <v>16669800</v>
      </c>
      <c r="I10" s="272">
        <f t="shared" si="0"/>
        <v>210775573.91</v>
      </c>
      <c r="J10" s="289" t="s">
        <v>3239</v>
      </c>
      <c r="N10" s="299"/>
    </row>
    <row r="11" spans="1:15" x14ac:dyDescent="0.25">
      <c r="A11" s="270">
        <v>6</v>
      </c>
      <c r="B11" s="271">
        <v>44935</v>
      </c>
      <c r="C11" s="255" t="s">
        <v>3180</v>
      </c>
      <c r="D11" s="251" t="s">
        <v>3181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3182</v>
      </c>
      <c r="D12" s="251" t="s">
        <v>3183</v>
      </c>
      <c r="E12" s="251" t="s">
        <v>3184</v>
      </c>
      <c r="F12" s="249"/>
      <c r="G12" s="272"/>
      <c r="H12" s="272">
        <v>4701132</v>
      </c>
      <c r="I12" s="272">
        <f t="shared" si="0"/>
        <v>273608705.90999997</v>
      </c>
      <c r="J12" s="289" t="s">
        <v>3197</v>
      </c>
    </row>
    <row r="13" spans="1:15" x14ac:dyDescent="0.25">
      <c r="A13" s="270">
        <v>8</v>
      </c>
      <c r="B13" s="271"/>
      <c r="C13" s="255" t="s">
        <v>3182</v>
      </c>
      <c r="D13" s="251" t="s">
        <v>3185</v>
      </c>
      <c r="E13" s="251" t="s">
        <v>3184</v>
      </c>
      <c r="F13" s="249"/>
      <c r="G13" s="272"/>
      <c r="H13" s="272">
        <v>3247884</v>
      </c>
      <c r="I13" s="272">
        <f t="shared" si="0"/>
        <v>276856589.90999997</v>
      </c>
      <c r="J13" s="289" t="s">
        <v>3197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3177</v>
      </c>
      <c r="D14" s="251" t="s">
        <v>3186</v>
      </c>
      <c r="E14" s="252" t="s">
        <v>3187</v>
      </c>
      <c r="F14" s="249"/>
      <c r="G14" s="272"/>
      <c r="H14" s="272">
        <v>11396700</v>
      </c>
      <c r="I14" s="272">
        <f t="shared" si="0"/>
        <v>288253289.90999997</v>
      </c>
      <c r="J14" s="289" t="s">
        <v>3198</v>
      </c>
    </row>
    <row r="15" spans="1:15" x14ac:dyDescent="0.25">
      <c r="A15" s="270">
        <v>10</v>
      </c>
      <c r="B15" s="271">
        <v>44944</v>
      </c>
      <c r="C15" s="255" t="s">
        <v>3188</v>
      </c>
      <c r="D15" s="251" t="s">
        <v>3189</v>
      </c>
      <c r="E15" s="251" t="s">
        <v>3190</v>
      </c>
      <c r="F15" s="249"/>
      <c r="G15" s="272"/>
      <c r="H15" s="272">
        <v>5523780</v>
      </c>
      <c r="I15" s="272">
        <f t="shared" si="0"/>
        <v>293777069.90999997</v>
      </c>
      <c r="J15" s="289" t="s">
        <v>4135</v>
      </c>
    </row>
    <row r="16" spans="1:15" x14ac:dyDescent="0.25">
      <c r="A16" s="270">
        <v>11</v>
      </c>
      <c r="B16" s="271">
        <v>44946</v>
      </c>
      <c r="C16" s="255" t="s">
        <v>3180</v>
      </c>
      <c r="D16" s="251" t="s">
        <v>3191</v>
      </c>
      <c r="E16" s="251" t="s">
        <v>3192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3182</v>
      </c>
      <c r="D17" s="251" t="s">
        <v>3193</v>
      </c>
      <c r="E17" s="251" t="s">
        <v>3184</v>
      </c>
      <c r="F17" s="249"/>
      <c r="G17" s="272"/>
      <c r="H17" s="272">
        <v>2912760</v>
      </c>
      <c r="I17" s="272">
        <f t="shared" si="0"/>
        <v>345080829.90999997</v>
      </c>
      <c r="J17" s="289" t="s">
        <v>3197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3182</v>
      </c>
      <c r="D18" s="252" t="s">
        <v>3194</v>
      </c>
      <c r="E18" s="251" t="s">
        <v>3184</v>
      </c>
      <c r="F18" s="249"/>
      <c r="G18" s="272"/>
      <c r="H18" s="272">
        <v>19053000</v>
      </c>
      <c r="I18" s="272">
        <f t="shared" si="0"/>
        <v>364133829.90999997</v>
      </c>
      <c r="J18" s="289" t="s">
        <v>3197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3177</v>
      </c>
      <c r="D19" s="251" t="s">
        <v>3195</v>
      </c>
      <c r="E19" s="252" t="s">
        <v>3196</v>
      </c>
      <c r="F19" s="249"/>
      <c r="G19" s="272"/>
      <c r="H19" s="272">
        <v>507700</v>
      </c>
      <c r="I19" s="272">
        <f t="shared" si="0"/>
        <v>364641529.90999997</v>
      </c>
      <c r="J19" s="289" t="s">
        <v>3199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3"/>
      <c r="N20" s="291"/>
      <c r="O20" s="291"/>
    </row>
    <row r="21" spans="1:15" x14ac:dyDescent="0.25">
      <c r="A21" s="304" t="s">
        <v>99</v>
      </c>
      <c r="B21" s="268"/>
      <c r="C21" s="893" t="s">
        <v>3647</v>
      </c>
      <c r="D21" s="894"/>
      <c r="E21" s="894"/>
      <c r="F21" s="895"/>
      <c r="G21" s="269"/>
      <c r="H21" s="269"/>
      <c r="I21" s="269">
        <f>I20-G21+H21</f>
        <v>364641529.90999997</v>
      </c>
      <c r="J21" s="532"/>
    </row>
    <row r="22" spans="1:15" x14ac:dyDescent="0.25">
      <c r="A22" s="270">
        <v>1</v>
      </c>
      <c r="B22" s="271"/>
      <c r="C22" s="255" t="s">
        <v>300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3171</v>
      </c>
      <c r="D23" s="250" t="s">
        <v>3172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3173</v>
      </c>
      <c r="D24" s="250" t="s">
        <v>3174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3175</v>
      </c>
      <c r="D25" s="282" t="s">
        <v>3176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3648</v>
      </c>
      <c r="D26" s="251" t="s">
        <v>3649</v>
      </c>
      <c r="E26" s="251" t="s">
        <v>3650</v>
      </c>
      <c r="F26" s="249" t="s">
        <v>3651</v>
      </c>
      <c r="G26" s="272">
        <v>287700000</v>
      </c>
      <c r="H26" s="272"/>
      <c r="I26" s="272">
        <f t="shared" si="1"/>
        <v>77138052.98999995</v>
      </c>
      <c r="J26" s="289" t="s">
        <v>4134</v>
      </c>
      <c r="N26" s="299"/>
    </row>
    <row r="27" spans="1:15" x14ac:dyDescent="0.25">
      <c r="A27" s="270">
        <v>6</v>
      </c>
      <c r="B27" s="271">
        <v>44960</v>
      </c>
      <c r="C27" s="255" t="s">
        <v>3182</v>
      </c>
      <c r="D27" s="251" t="s">
        <v>3652</v>
      </c>
      <c r="E27" s="251" t="s">
        <v>3184</v>
      </c>
      <c r="F27" s="249"/>
      <c r="G27" s="272"/>
      <c r="H27" s="272">
        <v>6408072</v>
      </c>
      <c r="I27" s="272">
        <f t="shared" si="1"/>
        <v>83546124.98999995</v>
      </c>
      <c r="J27" s="289" t="s">
        <v>3197</v>
      </c>
      <c r="M27" s="299"/>
    </row>
    <row r="28" spans="1:15" x14ac:dyDescent="0.25">
      <c r="A28" s="270">
        <v>7</v>
      </c>
      <c r="B28" s="271"/>
      <c r="C28" s="255" t="s">
        <v>3182</v>
      </c>
      <c r="D28" s="251" t="s">
        <v>3653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3669</v>
      </c>
    </row>
    <row r="29" spans="1:15" x14ac:dyDescent="0.25">
      <c r="A29" s="270">
        <v>8</v>
      </c>
      <c r="B29" s="271">
        <v>44965</v>
      </c>
      <c r="C29" s="255" t="s">
        <v>3182</v>
      </c>
      <c r="D29" s="251" t="s">
        <v>3654</v>
      </c>
      <c r="E29" s="251" t="s">
        <v>3184</v>
      </c>
      <c r="F29" s="249"/>
      <c r="G29" s="272"/>
      <c r="H29" s="272">
        <v>9926352</v>
      </c>
      <c r="I29" s="272">
        <f t="shared" si="1"/>
        <v>99949476.98999995</v>
      </c>
      <c r="J29" s="289" t="s">
        <v>3197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3182</v>
      </c>
      <c r="D30" s="251" t="s">
        <v>3655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3239</v>
      </c>
    </row>
    <row r="31" spans="1:15" x14ac:dyDescent="0.25">
      <c r="A31" s="270">
        <v>10</v>
      </c>
      <c r="B31" s="271">
        <v>44966</v>
      </c>
      <c r="C31" s="255" t="s">
        <v>3182</v>
      </c>
      <c r="D31" s="252" t="s">
        <v>3656</v>
      </c>
      <c r="E31" s="251" t="s">
        <v>3184</v>
      </c>
      <c r="F31" s="249"/>
      <c r="G31" s="272"/>
      <c r="H31" s="272">
        <v>9583920</v>
      </c>
      <c r="I31" s="272">
        <f t="shared" si="1"/>
        <v>278154996.98999995</v>
      </c>
      <c r="J31" s="289" t="s">
        <v>3197</v>
      </c>
    </row>
    <row r="32" spans="1:15" x14ac:dyDescent="0.25">
      <c r="A32" s="270">
        <v>11</v>
      </c>
      <c r="B32" s="271">
        <v>44966</v>
      </c>
      <c r="C32" s="255" t="s">
        <v>3182</v>
      </c>
      <c r="D32" s="251" t="s">
        <v>3657</v>
      </c>
      <c r="E32" s="251" t="s">
        <v>3184</v>
      </c>
      <c r="F32" s="249"/>
      <c r="G32" s="272"/>
      <c r="H32" s="272">
        <v>2785392</v>
      </c>
      <c r="I32" s="272">
        <f t="shared" si="1"/>
        <v>280940388.98999995</v>
      </c>
      <c r="J32" s="289" t="s">
        <v>3197</v>
      </c>
      <c r="K32" s="301"/>
    </row>
    <row r="33" spans="1:15" x14ac:dyDescent="0.25">
      <c r="A33" s="270">
        <v>12</v>
      </c>
      <c r="B33" s="271">
        <v>44966</v>
      </c>
      <c r="C33" s="255" t="s">
        <v>3177</v>
      </c>
      <c r="D33" s="251" t="s">
        <v>3658</v>
      </c>
      <c r="E33" s="251" t="s">
        <v>3659</v>
      </c>
      <c r="F33" s="249"/>
      <c r="G33" s="272"/>
      <c r="H33" s="272">
        <v>13058850</v>
      </c>
      <c r="I33" s="272">
        <f t="shared" si="1"/>
        <v>293999238.98999995</v>
      </c>
      <c r="J33" s="289" t="s">
        <v>3670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3188</v>
      </c>
      <c r="D34" s="251" t="s">
        <v>3660</v>
      </c>
      <c r="E34" s="251" t="s">
        <v>3190</v>
      </c>
      <c r="F34" s="249"/>
      <c r="G34" s="272"/>
      <c r="H34" s="272">
        <v>4721400</v>
      </c>
      <c r="I34" s="272">
        <f t="shared" si="1"/>
        <v>298720638.98999995</v>
      </c>
      <c r="J34" s="289" t="s">
        <v>4135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3177</v>
      </c>
      <c r="D35" s="251" t="s">
        <v>3661</v>
      </c>
      <c r="E35" s="251" t="s">
        <v>3187</v>
      </c>
      <c r="F35" s="249"/>
      <c r="G35" s="272"/>
      <c r="H35" s="272">
        <v>11329700</v>
      </c>
      <c r="I35" s="272">
        <f t="shared" si="1"/>
        <v>310050338.98999995</v>
      </c>
      <c r="J35" s="289" t="s">
        <v>3198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3182</v>
      </c>
      <c r="D36" s="251" t="s">
        <v>3662</v>
      </c>
      <c r="E36" s="251" t="s">
        <v>3184</v>
      </c>
      <c r="F36" s="249"/>
      <c r="G36" s="272"/>
      <c r="H36" s="272">
        <v>5324400</v>
      </c>
      <c r="I36" s="272">
        <f t="shared" si="1"/>
        <v>315374738.98999995</v>
      </c>
      <c r="J36" s="289" t="s">
        <v>3197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3188</v>
      </c>
      <c r="D37" s="251" t="s">
        <v>3663</v>
      </c>
      <c r="E37" s="251" t="s">
        <v>3190</v>
      </c>
      <c r="F37" s="249"/>
      <c r="G37" s="272"/>
      <c r="H37" s="272">
        <v>2538720</v>
      </c>
      <c r="I37" s="272">
        <f t="shared" si="1"/>
        <v>317913458.98999995</v>
      </c>
      <c r="J37" s="289" t="s">
        <v>4135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3182</v>
      </c>
      <c r="D38" s="251" t="s">
        <v>3664</v>
      </c>
      <c r="E38" s="251" t="s">
        <v>3184</v>
      </c>
      <c r="F38" s="249"/>
      <c r="G38" s="272"/>
      <c r="H38" s="272">
        <v>6270264</v>
      </c>
      <c r="I38" s="272">
        <f t="shared" si="1"/>
        <v>324183722.98999995</v>
      </c>
      <c r="J38" s="289" t="s">
        <v>3197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3182</v>
      </c>
      <c r="D39" s="251" t="s">
        <v>3665</v>
      </c>
      <c r="E39" s="251" t="s">
        <v>3184</v>
      </c>
      <c r="F39" s="249"/>
      <c r="G39" s="272"/>
      <c r="H39" s="272">
        <v>8136728</v>
      </c>
      <c r="I39" s="272">
        <f t="shared" si="1"/>
        <v>332320450.98999995</v>
      </c>
      <c r="J39" s="289" t="s">
        <v>3197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3182</v>
      </c>
      <c r="D40" s="251" t="s">
        <v>3666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3671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3182</v>
      </c>
      <c r="D41" s="251" t="s">
        <v>3667</v>
      </c>
      <c r="E41" s="251" t="s">
        <v>3184</v>
      </c>
      <c r="F41" s="249"/>
      <c r="G41" s="272"/>
      <c r="H41" s="272">
        <v>11130084</v>
      </c>
      <c r="I41" s="272">
        <f t="shared" si="1"/>
        <v>346012969.98999995</v>
      </c>
      <c r="J41" s="289" t="s">
        <v>3197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3648</v>
      </c>
      <c r="D42" s="252" t="s">
        <v>3649</v>
      </c>
      <c r="E42" s="251" t="s">
        <v>3668</v>
      </c>
      <c r="F42" s="249" t="s">
        <v>3651</v>
      </c>
      <c r="G42" s="272">
        <v>164276000</v>
      </c>
      <c r="H42" s="272"/>
      <c r="I42" s="272">
        <f t="shared" si="1"/>
        <v>181736969.98999995</v>
      </c>
      <c r="J42" s="289" t="s">
        <v>4134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3"/>
      <c r="N43" s="291"/>
      <c r="O43" s="291"/>
    </row>
    <row r="44" spans="1:15" x14ac:dyDescent="0.25">
      <c r="A44" s="304" t="s">
        <v>100</v>
      </c>
      <c r="B44" s="268"/>
      <c r="C44" s="893" t="s">
        <v>4102</v>
      </c>
      <c r="D44" s="894"/>
      <c r="E44" s="894"/>
      <c r="F44" s="895"/>
      <c r="G44" s="269"/>
      <c r="H44" s="269"/>
      <c r="I44" s="269">
        <f>I43-G44+H44</f>
        <v>181736969.98999995</v>
      </c>
      <c r="J44" s="532"/>
    </row>
    <row r="45" spans="1:15" x14ac:dyDescent="0.25">
      <c r="A45" s="270">
        <v>1</v>
      </c>
      <c r="B45" s="271"/>
      <c r="C45" s="255" t="s">
        <v>300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3171</v>
      </c>
      <c r="D46" s="250" t="s">
        <v>3172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3173</v>
      </c>
      <c r="D47" s="250" t="s">
        <v>3174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3175</v>
      </c>
      <c r="D48" s="282" t="s">
        <v>3176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3182</v>
      </c>
      <c r="D49" s="251" t="s">
        <v>4103</v>
      </c>
      <c r="E49" s="251" t="s">
        <v>3184</v>
      </c>
      <c r="F49" s="249"/>
      <c r="G49" s="272"/>
      <c r="H49" s="272">
        <v>2341779</v>
      </c>
      <c r="I49" s="272">
        <f t="shared" si="2"/>
        <v>184220621.88999996</v>
      </c>
      <c r="J49" s="289" t="s">
        <v>3197</v>
      </c>
      <c r="N49" s="299"/>
    </row>
    <row r="50" spans="1:15" x14ac:dyDescent="0.25">
      <c r="A50" s="270">
        <v>6</v>
      </c>
      <c r="B50" s="271"/>
      <c r="C50" s="255" t="s">
        <v>4104</v>
      </c>
      <c r="D50" s="251" t="s">
        <v>4105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3182</v>
      </c>
      <c r="D51" s="251" t="s">
        <v>4106</v>
      </c>
      <c r="E51" s="251" t="s">
        <v>3184</v>
      </c>
      <c r="F51" s="249"/>
      <c r="G51" s="272"/>
      <c r="H51" s="272">
        <v>11924916</v>
      </c>
      <c r="I51" s="272">
        <f t="shared" si="2"/>
        <v>198295237.88999996</v>
      </c>
      <c r="J51" s="289" t="s">
        <v>3197</v>
      </c>
    </row>
    <row r="52" spans="1:15" x14ac:dyDescent="0.25">
      <c r="A52" s="270">
        <v>8</v>
      </c>
      <c r="B52" s="271">
        <v>44993</v>
      </c>
      <c r="C52" s="255" t="s">
        <v>3177</v>
      </c>
      <c r="D52" s="536" t="s">
        <v>4107</v>
      </c>
      <c r="E52" s="251" t="s">
        <v>4108</v>
      </c>
      <c r="F52" s="249"/>
      <c r="G52" s="272"/>
      <c r="H52" s="272">
        <v>20991600</v>
      </c>
      <c r="I52" s="272">
        <f t="shared" si="2"/>
        <v>219286837.88999996</v>
      </c>
      <c r="J52" s="289" t="s">
        <v>3670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3182</v>
      </c>
      <c r="D53" s="251" t="s">
        <v>4109</v>
      </c>
      <c r="E53" s="252" t="s">
        <v>3184</v>
      </c>
      <c r="F53" s="249"/>
      <c r="G53" s="272"/>
      <c r="H53" s="272">
        <v>25911384</v>
      </c>
      <c r="I53" s="272">
        <f t="shared" si="2"/>
        <v>245198221.88999996</v>
      </c>
      <c r="J53" s="289" t="s">
        <v>3197</v>
      </c>
    </row>
    <row r="54" spans="1:15" x14ac:dyDescent="0.25">
      <c r="A54" s="270">
        <v>10</v>
      </c>
      <c r="B54" s="271">
        <v>44999</v>
      </c>
      <c r="C54" s="255" t="s">
        <v>3177</v>
      </c>
      <c r="D54" s="251" t="s">
        <v>4110</v>
      </c>
      <c r="E54" s="251" t="s">
        <v>3196</v>
      </c>
      <c r="F54" s="249"/>
      <c r="G54" s="272"/>
      <c r="H54" s="272">
        <v>3833800</v>
      </c>
      <c r="I54" s="272">
        <f t="shared" si="2"/>
        <v>249032021.88999996</v>
      </c>
      <c r="J54" s="289" t="s">
        <v>3199</v>
      </c>
    </row>
    <row r="55" spans="1:15" x14ac:dyDescent="0.25">
      <c r="A55" s="270">
        <v>11</v>
      </c>
      <c r="B55" s="271">
        <v>45001</v>
      </c>
      <c r="C55" s="255" t="s">
        <v>3188</v>
      </c>
      <c r="D55" s="251" t="s">
        <v>4111</v>
      </c>
      <c r="E55" s="251" t="s">
        <v>3190</v>
      </c>
      <c r="F55" s="249"/>
      <c r="G55" s="272"/>
      <c r="H55" s="272">
        <v>6579000</v>
      </c>
      <c r="I55" s="272">
        <f t="shared" si="2"/>
        <v>255611021.88999996</v>
      </c>
      <c r="J55" s="289" t="s">
        <v>4135</v>
      </c>
      <c r="K55" s="301"/>
    </row>
    <row r="56" spans="1:15" x14ac:dyDescent="0.25">
      <c r="A56" s="270">
        <v>12</v>
      </c>
      <c r="B56" s="271">
        <v>45002</v>
      </c>
      <c r="C56" s="255" t="s">
        <v>3182</v>
      </c>
      <c r="D56" s="251" t="s">
        <v>3655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3239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3182</v>
      </c>
      <c r="D57" s="251" t="s">
        <v>4112</v>
      </c>
      <c r="E57" s="251" t="s">
        <v>3184</v>
      </c>
      <c r="F57" s="249"/>
      <c r="G57" s="272"/>
      <c r="H57" s="272">
        <v>1851012</v>
      </c>
      <c r="I57" s="272">
        <f t="shared" si="2"/>
        <v>474299983.88999999</v>
      </c>
      <c r="J57" s="289" t="s">
        <v>3197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3180</v>
      </c>
      <c r="D58" s="251" t="s">
        <v>4113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3182</v>
      </c>
      <c r="D59" s="251" t="s">
        <v>4114</v>
      </c>
      <c r="E59" s="251" t="s">
        <v>3184</v>
      </c>
      <c r="F59" s="249"/>
      <c r="G59" s="272"/>
      <c r="H59" s="272">
        <v>12108900</v>
      </c>
      <c r="I59" s="272">
        <f t="shared" si="2"/>
        <v>526408883.88999999</v>
      </c>
      <c r="J59" s="289" t="s">
        <v>3197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3177</v>
      </c>
      <c r="D60" s="251" t="s">
        <v>4115</v>
      </c>
      <c r="E60" s="251" t="s">
        <v>4116</v>
      </c>
      <c r="F60" s="249"/>
      <c r="G60" s="272"/>
      <c r="H60" s="272">
        <v>1775000</v>
      </c>
      <c r="I60" s="272">
        <f t="shared" si="2"/>
        <v>528183883.88999999</v>
      </c>
      <c r="J60" s="538" t="s">
        <v>4122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3182</v>
      </c>
      <c r="D61" s="251" t="s">
        <v>4117</v>
      </c>
      <c r="E61" s="251" t="s">
        <v>3184</v>
      </c>
      <c r="F61" s="249"/>
      <c r="G61" s="272"/>
      <c r="H61" s="272">
        <v>13314654</v>
      </c>
      <c r="I61" s="272">
        <f t="shared" si="2"/>
        <v>541498537.88999999</v>
      </c>
      <c r="J61" s="289" t="s">
        <v>3197</v>
      </c>
      <c r="M61" s="299"/>
      <c r="N61" s="291"/>
      <c r="O61" s="291"/>
    </row>
    <row r="62" spans="1:15" x14ac:dyDescent="0.25">
      <c r="A62" s="270">
        <v>18</v>
      </c>
      <c r="B62" s="271"/>
      <c r="C62" s="537" t="s">
        <v>3182</v>
      </c>
      <c r="D62" s="251" t="s">
        <v>4118</v>
      </c>
      <c r="E62" s="251" t="s">
        <v>3184</v>
      </c>
      <c r="F62" s="249"/>
      <c r="G62" s="272"/>
      <c r="H62" s="272">
        <v>4885920</v>
      </c>
      <c r="I62" s="272">
        <f t="shared" si="2"/>
        <v>546384457.88999999</v>
      </c>
      <c r="J62" s="289" t="s">
        <v>3197</v>
      </c>
      <c r="N62" s="291"/>
      <c r="O62" s="291"/>
    </row>
    <row r="63" spans="1:15" x14ac:dyDescent="0.25">
      <c r="A63" s="270">
        <v>19</v>
      </c>
      <c r="B63" s="271"/>
      <c r="C63" s="255" t="s">
        <v>3182</v>
      </c>
      <c r="D63" s="251" t="s">
        <v>4119</v>
      </c>
      <c r="E63" s="251" t="s">
        <v>3184</v>
      </c>
      <c r="F63" s="249"/>
      <c r="G63" s="272"/>
      <c r="H63" s="272">
        <v>1728864</v>
      </c>
      <c r="I63" s="272">
        <f t="shared" si="2"/>
        <v>548113321.88999999</v>
      </c>
      <c r="J63" s="289" t="s">
        <v>3197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3180</v>
      </c>
      <c r="D64" s="251" t="s">
        <v>4120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3177</v>
      </c>
      <c r="D65" s="251" t="s">
        <v>4121</v>
      </c>
      <c r="E65" s="252" t="s">
        <v>3196</v>
      </c>
      <c r="F65" s="249"/>
      <c r="G65" s="272"/>
      <c r="H65" s="272">
        <v>1718100</v>
      </c>
      <c r="I65" s="272">
        <f t="shared" si="2"/>
        <v>590026421.88999999</v>
      </c>
      <c r="J65" s="289" t="s">
        <v>3199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3"/>
      <c r="N66" s="291"/>
      <c r="O66" s="291"/>
    </row>
    <row r="67" spans="1:15" x14ac:dyDescent="0.25">
      <c r="A67" s="304" t="s">
        <v>101</v>
      </c>
      <c r="B67" s="268"/>
      <c r="C67" s="893" t="s">
        <v>4211</v>
      </c>
      <c r="D67" s="894"/>
      <c r="E67" s="894"/>
      <c r="F67" s="895"/>
      <c r="G67" s="269"/>
      <c r="H67" s="269"/>
      <c r="I67" s="269">
        <f>I66-G67+H67</f>
        <v>590026421.88999999</v>
      </c>
      <c r="J67" s="532"/>
    </row>
    <row r="68" spans="1:15" x14ac:dyDescent="0.25">
      <c r="A68" s="270">
        <v>1</v>
      </c>
      <c r="B68" s="271"/>
      <c r="C68" s="255" t="s">
        <v>300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3171</v>
      </c>
      <c r="D69" s="250" t="s">
        <v>3172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3173</v>
      </c>
      <c r="D70" s="250" t="s">
        <v>3174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3175</v>
      </c>
      <c r="D71" s="282" t="s">
        <v>3176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3182</v>
      </c>
      <c r="D72" s="251" t="s">
        <v>4212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3198</v>
      </c>
      <c r="N72" s="299"/>
    </row>
    <row r="73" spans="1:15" x14ac:dyDescent="0.25">
      <c r="A73" s="270">
        <v>6</v>
      </c>
      <c r="B73" s="271"/>
      <c r="C73" s="255" t="s">
        <v>3648</v>
      </c>
      <c r="D73" s="252" t="s">
        <v>3649</v>
      </c>
      <c r="E73" s="251" t="s">
        <v>4213</v>
      </c>
      <c r="F73" s="249" t="s">
        <v>3651</v>
      </c>
      <c r="G73" s="272">
        <v>174385000</v>
      </c>
      <c r="H73" s="272"/>
      <c r="I73" s="272">
        <f t="shared" si="3"/>
        <v>416434739.25</v>
      </c>
      <c r="J73" s="289" t="s">
        <v>4134</v>
      </c>
      <c r="M73" s="299"/>
    </row>
    <row r="74" spans="1:15" x14ac:dyDescent="0.25">
      <c r="A74" s="270">
        <v>7</v>
      </c>
      <c r="B74" s="271">
        <v>45021</v>
      </c>
      <c r="C74" s="255" t="s">
        <v>3182</v>
      </c>
      <c r="D74" s="251" t="s">
        <v>4214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3670</v>
      </c>
    </row>
    <row r="75" spans="1:15" x14ac:dyDescent="0.25">
      <c r="A75" s="270">
        <v>8</v>
      </c>
      <c r="B75" s="271">
        <v>45022</v>
      </c>
      <c r="C75" s="255" t="s">
        <v>3188</v>
      </c>
      <c r="D75" s="251" t="s">
        <v>4215</v>
      </c>
      <c r="E75" s="251" t="s">
        <v>3190</v>
      </c>
      <c r="F75" s="249"/>
      <c r="G75" s="272"/>
      <c r="H75" s="272">
        <v>8681000</v>
      </c>
      <c r="I75" s="272">
        <f t="shared" si="3"/>
        <v>464359989.25</v>
      </c>
      <c r="J75" s="289" t="s">
        <v>4135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3188</v>
      </c>
      <c r="D76" s="251" t="s">
        <v>4216</v>
      </c>
      <c r="E76" s="252" t="s">
        <v>3190</v>
      </c>
      <c r="F76" s="249"/>
      <c r="G76" s="272"/>
      <c r="H76" s="272">
        <v>4512248</v>
      </c>
      <c r="I76" s="272">
        <f t="shared" si="3"/>
        <v>468872237.25</v>
      </c>
      <c r="J76" s="289" t="s">
        <v>4135</v>
      </c>
    </row>
    <row r="77" spans="1:15" x14ac:dyDescent="0.25">
      <c r="A77" s="270">
        <v>10</v>
      </c>
      <c r="B77" s="271"/>
      <c r="C77" s="255" t="s">
        <v>3648</v>
      </c>
      <c r="D77" s="251" t="s">
        <v>3649</v>
      </c>
      <c r="E77" s="251" t="s">
        <v>4217</v>
      </c>
      <c r="F77" s="249" t="s">
        <v>3651</v>
      </c>
      <c r="G77" s="272">
        <v>392250000</v>
      </c>
      <c r="H77" s="272"/>
      <c r="I77" s="272">
        <f t="shared" si="3"/>
        <v>76622237.25</v>
      </c>
      <c r="J77" s="289" t="s">
        <v>4134</v>
      </c>
    </row>
    <row r="78" spans="1:15" x14ac:dyDescent="0.25">
      <c r="A78" s="270">
        <v>11</v>
      </c>
      <c r="B78" s="271">
        <v>45027</v>
      </c>
      <c r="C78" s="255" t="s">
        <v>4104</v>
      </c>
      <c r="D78" s="251" t="s">
        <v>4105</v>
      </c>
      <c r="E78" s="251"/>
      <c r="F78" s="249"/>
      <c r="G78" s="272"/>
      <c r="H78" s="272">
        <v>2988100</v>
      </c>
      <c r="I78" s="272">
        <f t="shared" si="3"/>
        <v>79610337.25</v>
      </c>
      <c r="J78" s="538"/>
      <c r="K78" s="301"/>
    </row>
    <row r="79" spans="1:15" x14ac:dyDescent="0.25">
      <c r="A79" s="270">
        <v>12</v>
      </c>
      <c r="B79" s="271">
        <v>45028</v>
      </c>
      <c r="C79" s="255" t="s">
        <v>3180</v>
      </c>
      <c r="D79" s="251" t="s">
        <v>4218</v>
      </c>
      <c r="E79" s="251"/>
      <c r="F79" s="249"/>
      <c r="G79" s="272"/>
      <c r="H79" s="272">
        <v>43530000</v>
      </c>
      <c r="I79" s="272">
        <f t="shared" si="3"/>
        <v>123140337.25</v>
      </c>
      <c r="J79" s="538"/>
      <c r="N79" s="291"/>
      <c r="O79" s="291"/>
    </row>
    <row r="80" spans="1:15" x14ac:dyDescent="0.25">
      <c r="A80" s="270">
        <v>13</v>
      </c>
      <c r="B80" s="271"/>
      <c r="C80" s="255" t="s">
        <v>3182</v>
      </c>
      <c r="D80" s="252" t="s">
        <v>4219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4389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3182</v>
      </c>
      <c r="D81" s="251" t="s">
        <v>4220</v>
      </c>
      <c r="E81" s="251" t="s">
        <v>3184</v>
      </c>
      <c r="F81" s="249"/>
      <c r="G81" s="272"/>
      <c r="H81" s="272">
        <v>689040</v>
      </c>
      <c r="I81" s="272">
        <f t="shared" si="3"/>
        <v>125858634.25</v>
      </c>
      <c r="J81" s="289" t="s">
        <v>3197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3177</v>
      </c>
      <c r="D82" s="251" t="s">
        <v>4221</v>
      </c>
      <c r="E82" s="251" t="s">
        <v>3187</v>
      </c>
      <c r="F82" s="249"/>
      <c r="G82" s="272"/>
      <c r="H82" s="272">
        <v>1194375</v>
      </c>
      <c r="I82" s="272">
        <f t="shared" si="3"/>
        <v>127053009.25</v>
      </c>
      <c r="J82" s="289" t="s">
        <v>3198</v>
      </c>
      <c r="N82" s="291"/>
      <c r="O82" s="291"/>
    </row>
    <row r="83" spans="1:15" x14ac:dyDescent="0.25">
      <c r="A83" s="270">
        <v>16</v>
      </c>
      <c r="B83" s="271"/>
      <c r="C83" s="255" t="s">
        <v>3180</v>
      </c>
      <c r="D83" s="251" t="s">
        <v>4222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3182</v>
      </c>
      <c r="D84" s="251" t="s">
        <v>4223</v>
      </c>
      <c r="E84" s="251" t="s">
        <v>3184</v>
      </c>
      <c r="F84" s="249"/>
      <c r="G84" s="272"/>
      <c r="H84" s="272">
        <v>15180108</v>
      </c>
      <c r="I84" s="272">
        <f t="shared" si="3"/>
        <v>186233117.25</v>
      </c>
      <c r="J84" s="289" t="s">
        <v>3197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3182</v>
      </c>
      <c r="D85" s="251" t="s">
        <v>3666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3671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3"/>
      <c r="N86" s="291"/>
      <c r="O86" s="291"/>
    </row>
    <row r="87" spans="1:15" x14ac:dyDescent="0.25">
      <c r="A87" s="304" t="s">
        <v>102</v>
      </c>
      <c r="B87" s="268"/>
      <c r="C87" s="893" t="s">
        <v>4762</v>
      </c>
      <c r="D87" s="894"/>
      <c r="E87" s="894"/>
      <c r="F87" s="895"/>
      <c r="G87" s="269"/>
      <c r="H87" s="269"/>
      <c r="I87" s="269">
        <f>I86-G87+H87</f>
        <v>189734513.25</v>
      </c>
      <c r="J87" s="532"/>
    </row>
    <row r="88" spans="1:15" x14ac:dyDescent="0.25">
      <c r="A88" s="270">
        <v>1</v>
      </c>
      <c r="B88" s="271"/>
      <c r="C88" s="255" t="s">
        <v>300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>
        <v>45047</v>
      </c>
      <c r="C89" s="255" t="s">
        <v>3171</v>
      </c>
      <c r="D89" s="250" t="s">
        <v>3172</v>
      </c>
      <c r="E89" s="250"/>
      <c r="F89" s="249"/>
      <c r="G89" s="275"/>
      <c r="H89" s="275">
        <v>273104.46000000002</v>
      </c>
      <c r="I89" s="272">
        <f>I88-G89+H89</f>
        <v>190007617.71000001</v>
      </c>
      <c r="J89" s="289"/>
    </row>
    <row r="90" spans="1:15" x14ac:dyDescent="0.25">
      <c r="A90" s="270">
        <v>3</v>
      </c>
      <c r="B90" s="271"/>
      <c r="C90" s="255" t="s">
        <v>3173</v>
      </c>
      <c r="D90" s="250" t="s">
        <v>3174</v>
      </c>
      <c r="E90" s="250"/>
      <c r="F90" s="249"/>
      <c r="G90" s="275">
        <v>54620.89</v>
      </c>
      <c r="H90" s="275"/>
      <c r="I90" s="272">
        <f t="shared" ref="I90:I111" si="4">I89-G90+H90</f>
        <v>189952996.82000002</v>
      </c>
      <c r="J90" s="289"/>
      <c r="M90" s="298"/>
      <c r="N90" s="298"/>
    </row>
    <row r="91" spans="1:15" x14ac:dyDescent="0.25">
      <c r="A91" s="270">
        <v>4</v>
      </c>
      <c r="B91" s="271"/>
      <c r="C91" s="281" t="s">
        <v>3175</v>
      </c>
      <c r="D91" s="282" t="s">
        <v>3176</v>
      </c>
      <c r="E91" s="282"/>
      <c r="F91" s="249"/>
      <c r="G91" s="283">
        <v>50000</v>
      </c>
      <c r="H91" s="283"/>
      <c r="I91" s="272">
        <f t="shared" si="4"/>
        <v>189902996.82000002</v>
      </c>
      <c r="J91" s="289"/>
      <c r="N91" s="299"/>
    </row>
    <row r="92" spans="1:15" x14ac:dyDescent="0.25">
      <c r="A92" s="270">
        <v>5</v>
      </c>
      <c r="B92" s="271">
        <v>45048</v>
      </c>
      <c r="C92" s="255" t="s">
        <v>3182</v>
      </c>
      <c r="D92" s="251" t="s">
        <v>4763</v>
      </c>
      <c r="E92" s="251" t="s">
        <v>3184</v>
      </c>
      <c r="F92" s="249"/>
      <c r="G92" s="272"/>
      <c r="H92" s="272">
        <v>3557952</v>
      </c>
      <c r="I92" s="272">
        <f t="shared" si="4"/>
        <v>193460948.82000002</v>
      </c>
      <c r="J92" s="289" t="s">
        <v>3197</v>
      </c>
      <c r="N92" s="299"/>
    </row>
    <row r="93" spans="1:15" x14ac:dyDescent="0.25">
      <c r="A93" s="270">
        <v>6</v>
      </c>
      <c r="B93" s="271"/>
      <c r="C93" s="255" t="s">
        <v>3182</v>
      </c>
      <c r="D93" s="251" t="s">
        <v>4764</v>
      </c>
      <c r="E93" s="251" t="s">
        <v>3184</v>
      </c>
      <c r="F93" s="249"/>
      <c r="G93" s="272"/>
      <c r="H93" s="272">
        <v>704700</v>
      </c>
      <c r="I93" s="272">
        <f t="shared" si="4"/>
        <v>194165648.82000002</v>
      </c>
      <c r="J93" s="289" t="s">
        <v>3197</v>
      </c>
      <c r="M93" s="299"/>
    </row>
    <row r="94" spans="1:15" x14ac:dyDescent="0.25">
      <c r="A94" s="270">
        <v>7</v>
      </c>
      <c r="B94" s="271"/>
      <c r="C94" s="255" t="s">
        <v>3182</v>
      </c>
      <c r="D94" s="251" t="s">
        <v>4765</v>
      </c>
      <c r="E94" s="251" t="s">
        <v>3184</v>
      </c>
      <c r="F94" s="249"/>
      <c r="G94" s="272"/>
      <c r="H94" s="272">
        <v>3598320</v>
      </c>
      <c r="I94" s="272">
        <f t="shared" si="4"/>
        <v>197763968.82000002</v>
      </c>
      <c r="J94" s="289" t="s">
        <v>3197</v>
      </c>
    </row>
    <row r="95" spans="1:15" x14ac:dyDescent="0.25">
      <c r="A95" s="270">
        <v>8</v>
      </c>
      <c r="B95" s="271">
        <v>45049</v>
      </c>
      <c r="C95" s="255" t="s">
        <v>3182</v>
      </c>
      <c r="D95" s="251" t="s">
        <v>4766</v>
      </c>
      <c r="E95" s="251" t="s">
        <v>3184</v>
      </c>
      <c r="F95" s="249"/>
      <c r="G95" s="272"/>
      <c r="H95" s="272">
        <v>2599560</v>
      </c>
      <c r="I95" s="272">
        <f t="shared" si="4"/>
        <v>200363528.82000002</v>
      </c>
      <c r="J95" s="289" t="s">
        <v>3197</v>
      </c>
      <c r="K95" s="297"/>
      <c r="L95" s="297"/>
      <c r="M95" s="300"/>
      <c r="N95" s="300"/>
    </row>
    <row r="96" spans="1:15" x14ac:dyDescent="0.25">
      <c r="A96" s="270">
        <v>9</v>
      </c>
      <c r="B96" s="271"/>
      <c r="C96" s="255" t="s">
        <v>3182</v>
      </c>
      <c r="D96" s="252" t="s">
        <v>4767</v>
      </c>
      <c r="E96" s="252" t="s">
        <v>3184</v>
      </c>
      <c r="F96" s="249"/>
      <c r="G96" s="272"/>
      <c r="H96" s="272">
        <v>918720</v>
      </c>
      <c r="I96" s="272">
        <f t="shared" si="4"/>
        <v>201282248.82000002</v>
      </c>
      <c r="J96" s="289" t="s">
        <v>3197</v>
      </c>
    </row>
    <row r="97" spans="1:15" x14ac:dyDescent="0.25">
      <c r="A97" s="270">
        <v>10</v>
      </c>
      <c r="B97" s="271"/>
      <c r="C97" s="255" t="s">
        <v>3182</v>
      </c>
      <c r="D97" s="251" t="s">
        <v>4768</v>
      </c>
      <c r="E97" s="251" t="s">
        <v>3184</v>
      </c>
      <c r="F97" s="249"/>
      <c r="G97" s="272"/>
      <c r="H97" s="272">
        <v>4222980</v>
      </c>
      <c r="I97" s="272">
        <f t="shared" si="4"/>
        <v>205505228.82000002</v>
      </c>
      <c r="J97" s="289" t="s">
        <v>3197</v>
      </c>
    </row>
    <row r="98" spans="1:15" x14ac:dyDescent="0.25">
      <c r="A98" s="270">
        <v>11</v>
      </c>
      <c r="B98" s="271"/>
      <c r="C98" s="255" t="s">
        <v>3648</v>
      </c>
      <c r="D98" s="251" t="s">
        <v>3649</v>
      </c>
      <c r="E98" s="251" t="s">
        <v>4769</v>
      </c>
      <c r="F98" s="249" t="s">
        <v>3651</v>
      </c>
      <c r="G98" s="272">
        <v>102900000</v>
      </c>
      <c r="H98" s="272"/>
      <c r="I98" s="272">
        <f t="shared" si="4"/>
        <v>102605228.82000002</v>
      </c>
      <c r="J98" s="289" t="s">
        <v>4788</v>
      </c>
      <c r="K98" s="301"/>
    </row>
    <row r="99" spans="1:15" x14ac:dyDescent="0.25">
      <c r="A99" s="270">
        <v>12</v>
      </c>
      <c r="B99" s="271">
        <v>45054</v>
      </c>
      <c r="C99" s="255" t="s">
        <v>3180</v>
      </c>
      <c r="D99" s="251" t="s">
        <v>4771</v>
      </c>
      <c r="E99" s="251"/>
      <c r="F99" s="249"/>
      <c r="G99" s="272"/>
      <c r="H99" s="272">
        <v>23153500</v>
      </c>
      <c r="I99" s="272">
        <f t="shared" si="4"/>
        <v>125758728.82000002</v>
      </c>
      <c r="J99" s="289"/>
      <c r="N99" s="291"/>
      <c r="O99" s="291"/>
    </row>
    <row r="100" spans="1:15" x14ac:dyDescent="0.25">
      <c r="A100" s="270">
        <v>13</v>
      </c>
      <c r="B100" s="271">
        <v>45056</v>
      </c>
      <c r="C100" s="255" t="s">
        <v>3182</v>
      </c>
      <c r="D100" s="251" t="s">
        <v>3182</v>
      </c>
      <c r="E100" s="251" t="s">
        <v>3655</v>
      </c>
      <c r="F100" s="249"/>
      <c r="G100" s="272"/>
      <c r="H100" s="272">
        <v>141772425</v>
      </c>
      <c r="I100" s="272">
        <f t="shared" si="4"/>
        <v>267531153.82000002</v>
      </c>
      <c r="J100" s="289" t="s">
        <v>3239</v>
      </c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 t="s">
        <v>3177</v>
      </c>
      <c r="D101" s="251" t="s">
        <v>3177</v>
      </c>
      <c r="E101" s="251" t="s">
        <v>4772</v>
      </c>
      <c r="F101" s="249" t="s">
        <v>4773</v>
      </c>
      <c r="G101" s="272"/>
      <c r="H101" s="272">
        <v>1508900</v>
      </c>
      <c r="I101" s="272">
        <f t="shared" si="4"/>
        <v>269040053.82000005</v>
      </c>
      <c r="J101" s="289" t="s">
        <v>3199</v>
      </c>
      <c r="M101" s="299"/>
      <c r="N101" s="291"/>
      <c r="O101" s="291"/>
    </row>
    <row r="102" spans="1:15" x14ac:dyDescent="0.25">
      <c r="A102" s="270">
        <v>15</v>
      </c>
      <c r="B102" s="271">
        <v>45061</v>
      </c>
      <c r="C102" s="255" t="s">
        <v>3182</v>
      </c>
      <c r="D102" s="251" t="s">
        <v>4774</v>
      </c>
      <c r="E102" s="251" t="s">
        <v>3184</v>
      </c>
      <c r="F102" s="249"/>
      <c r="G102" s="272"/>
      <c r="H102" s="272">
        <v>1584372</v>
      </c>
      <c r="I102" s="272">
        <f t="shared" si="4"/>
        <v>270624425.82000005</v>
      </c>
      <c r="J102" s="289" t="s">
        <v>3197</v>
      </c>
      <c r="N102" s="291"/>
      <c r="O102" s="291"/>
    </row>
    <row r="103" spans="1:15" x14ac:dyDescent="0.25">
      <c r="A103" s="270">
        <v>16</v>
      </c>
      <c r="B103" s="271"/>
      <c r="C103" s="255" t="s">
        <v>3182</v>
      </c>
      <c r="D103" s="251" t="s">
        <v>4775</v>
      </c>
      <c r="E103" s="251" t="s">
        <v>3184</v>
      </c>
      <c r="F103" s="249"/>
      <c r="G103" s="272"/>
      <c r="H103" s="272">
        <v>3415136</v>
      </c>
      <c r="I103" s="272">
        <f t="shared" si="4"/>
        <v>274039561.82000005</v>
      </c>
      <c r="J103" s="289" t="s">
        <v>3197</v>
      </c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 t="s">
        <v>3182</v>
      </c>
      <c r="D104" s="251" t="s">
        <v>4776</v>
      </c>
      <c r="E104" s="252" t="s">
        <v>3184</v>
      </c>
      <c r="F104" s="249"/>
      <c r="G104" s="272"/>
      <c r="H104" s="272">
        <v>4048110</v>
      </c>
      <c r="I104" s="272">
        <f t="shared" si="4"/>
        <v>278087671.82000005</v>
      </c>
      <c r="J104" s="289" t="s">
        <v>3197</v>
      </c>
    </row>
    <row r="105" spans="1:15" x14ac:dyDescent="0.25">
      <c r="A105" s="270">
        <v>18</v>
      </c>
      <c r="B105" s="271"/>
      <c r="C105" s="255" t="s">
        <v>3182</v>
      </c>
      <c r="D105" s="251" t="s">
        <v>4777</v>
      </c>
      <c r="E105" s="251" t="s">
        <v>3184</v>
      </c>
      <c r="F105" s="249"/>
      <c r="G105" s="272"/>
      <c r="H105" s="272">
        <v>4322160</v>
      </c>
      <c r="I105" s="272">
        <f t="shared" si="4"/>
        <v>282409831.82000005</v>
      </c>
      <c r="J105" s="289" t="s">
        <v>3197</v>
      </c>
    </row>
    <row r="106" spans="1:15" x14ac:dyDescent="0.25">
      <c r="A106" s="270">
        <v>19</v>
      </c>
      <c r="B106" s="271"/>
      <c r="C106" s="255" t="s">
        <v>3182</v>
      </c>
      <c r="D106" s="251" t="s">
        <v>4778</v>
      </c>
      <c r="E106" s="251" t="s">
        <v>3184</v>
      </c>
      <c r="F106" s="249"/>
      <c r="G106" s="272"/>
      <c r="H106" s="272">
        <v>1089936</v>
      </c>
      <c r="I106" s="272">
        <f t="shared" si="4"/>
        <v>283499767.82000005</v>
      </c>
      <c r="J106" s="289" t="s">
        <v>3197</v>
      </c>
      <c r="K106" s="301"/>
    </row>
    <row r="107" spans="1:15" x14ac:dyDescent="0.25">
      <c r="A107" s="270">
        <v>20</v>
      </c>
      <c r="B107" s="271"/>
      <c r="C107" s="255" t="s">
        <v>4770</v>
      </c>
      <c r="D107" s="251" t="s">
        <v>4779</v>
      </c>
      <c r="E107" s="251" t="s">
        <v>4780</v>
      </c>
      <c r="F107" s="249"/>
      <c r="G107" s="272"/>
      <c r="H107" s="272">
        <v>28847350</v>
      </c>
      <c r="I107" s="272">
        <f t="shared" si="4"/>
        <v>312347117.82000005</v>
      </c>
      <c r="J107" s="289" t="s">
        <v>3670</v>
      </c>
      <c r="N107" s="291"/>
      <c r="O107" s="291"/>
    </row>
    <row r="108" spans="1:15" x14ac:dyDescent="0.25">
      <c r="A108" s="270">
        <v>21</v>
      </c>
      <c r="B108" s="271">
        <v>45062</v>
      </c>
      <c r="C108" s="255" t="s">
        <v>3648</v>
      </c>
      <c r="D108" s="251" t="s">
        <v>3649</v>
      </c>
      <c r="E108" s="251" t="s">
        <v>4781</v>
      </c>
      <c r="F108" s="249" t="s">
        <v>3651</v>
      </c>
      <c r="G108" s="272">
        <v>214768000</v>
      </c>
      <c r="H108" s="272"/>
      <c r="I108" s="272">
        <f t="shared" si="4"/>
        <v>97579117.820000052</v>
      </c>
      <c r="J108" s="289" t="s">
        <v>4134</v>
      </c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 t="s">
        <v>3177</v>
      </c>
      <c r="D109" s="251" t="s">
        <v>4782</v>
      </c>
      <c r="E109" s="252" t="s">
        <v>4785</v>
      </c>
      <c r="F109" s="249" t="s">
        <v>3184</v>
      </c>
      <c r="G109" s="272"/>
      <c r="H109" s="272">
        <v>1229832</v>
      </c>
      <c r="I109" s="272">
        <f t="shared" si="4"/>
        <v>98808949.820000052</v>
      </c>
      <c r="J109" s="289" t="s">
        <v>3197</v>
      </c>
      <c r="M109" s="299"/>
      <c r="N109" s="291"/>
      <c r="O109" s="291"/>
    </row>
    <row r="110" spans="1:15" x14ac:dyDescent="0.25">
      <c r="A110" s="270">
        <v>23</v>
      </c>
      <c r="B110" s="271"/>
      <c r="C110" s="255" t="s">
        <v>3177</v>
      </c>
      <c r="D110" s="251" t="s">
        <v>4783</v>
      </c>
      <c r="E110" s="251" t="s">
        <v>4786</v>
      </c>
      <c r="F110" s="249" t="s">
        <v>3184</v>
      </c>
      <c r="G110" s="272"/>
      <c r="H110" s="272">
        <v>519912</v>
      </c>
      <c r="I110" s="272">
        <f t="shared" si="4"/>
        <v>99328861.820000052</v>
      </c>
      <c r="J110" s="289" t="s">
        <v>3197</v>
      </c>
      <c r="N110" s="291"/>
      <c r="O110" s="291"/>
    </row>
    <row r="111" spans="1:15" x14ac:dyDescent="0.25">
      <c r="A111" s="270">
        <v>24</v>
      </c>
      <c r="B111" s="271"/>
      <c r="C111" s="255" t="s">
        <v>3177</v>
      </c>
      <c r="D111" s="251" t="s">
        <v>4784</v>
      </c>
      <c r="E111" s="251" t="s">
        <v>4787</v>
      </c>
      <c r="F111" s="249" t="s">
        <v>3184</v>
      </c>
      <c r="G111" s="272"/>
      <c r="H111" s="272">
        <v>1800000</v>
      </c>
      <c r="I111" s="272">
        <f t="shared" si="4"/>
        <v>101128861.82000005</v>
      </c>
      <c r="J111" s="289" t="s">
        <v>3197</v>
      </c>
      <c r="M111" s="299"/>
      <c r="N111" s="291"/>
      <c r="O111" s="291"/>
    </row>
    <row r="112" spans="1:15" x14ac:dyDescent="0.25">
      <c r="A112" s="270">
        <v>25</v>
      </c>
      <c r="B112" s="271">
        <v>45063</v>
      </c>
      <c r="C112" s="255" t="s">
        <v>4104</v>
      </c>
      <c r="D112" s="252" t="s">
        <v>4105</v>
      </c>
      <c r="E112" s="252"/>
      <c r="F112" s="249"/>
      <c r="G112" s="272"/>
      <c r="H112" s="272">
        <v>3191800</v>
      </c>
      <c r="I112" s="272">
        <f>I111-G112+H112</f>
        <v>104320661.82000005</v>
      </c>
      <c r="J112" s="289"/>
      <c r="N112" s="291"/>
      <c r="O112" s="291"/>
    </row>
    <row r="113" spans="1:15" x14ac:dyDescent="0.25">
      <c r="A113" s="270">
        <v>26</v>
      </c>
      <c r="B113" s="271"/>
      <c r="C113" s="255" t="s">
        <v>3182</v>
      </c>
      <c r="D113" s="252" t="s">
        <v>3653</v>
      </c>
      <c r="E113" s="252"/>
      <c r="F113" s="249"/>
      <c r="G113" s="272"/>
      <c r="H113" s="272">
        <v>8637000</v>
      </c>
      <c r="I113" s="272">
        <f t="shared" ref="I113:I116" si="5">I112-G113+H113</f>
        <v>112957661.82000005</v>
      </c>
      <c r="J113" s="289" t="s">
        <v>3669</v>
      </c>
      <c r="N113" s="291"/>
      <c r="O113" s="291"/>
    </row>
    <row r="114" spans="1:15" x14ac:dyDescent="0.25">
      <c r="A114" s="270">
        <v>27</v>
      </c>
      <c r="B114" s="271">
        <v>45065</v>
      </c>
      <c r="C114" s="255" t="s">
        <v>3182</v>
      </c>
      <c r="D114" s="252" t="s">
        <v>3666</v>
      </c>
      <c r="E114" s="252"/>
      <c r="F114" s="249"/>
      <c r="G114" s="272"/>
      <c r="H114" s="272">
        <v>2582442</v>
      </c>
      <c r="I114" s="272">
        <f t="shared" si="5"/>
        <v>115540103.82000005</v>
      </c>
      <c r="J114" s="289" t="s">
        <v>3671</v>
      </c>
      <c r="N114" s="291"/>
      <c r="O114" s="291"/>
    </row>
    <row r="115" spans="1:15" x14ac:dyDescent="0.25">
      <c r="A115" s="270">
        <v>28</v>
      </c>
      <c r="B115" s="271">
        <v>45069</v>
      </c>
      <c r="C115" s="255" t="s">
        <v>4104</v>
      </c>
      <c r="D115" s="252" t="s">
        <v>4105</v>
      </c>
      <c r="E115" s="252"/>
      <c r="F115" s="249"/>
      <c r="G115" s="272"/>
      <c r="H115" s="272">
        <v>3161600</v>
      </c>
      <c r="I115" s="272">
        <f t="shared" si="5"/>
        <v>118701703.82000005</v>
      </c>
      <c r="J115" s="289"/>
      <c r="N115" s="291"/>
      <c r="O115" s="291"/>
    </row>
    <row r="116" spans="1:15" x14ac:dyDescent="0.25">
      <c r="A116" s="270">
        <v>29</v>
      </c>
      <c r="B116" s="271">
        <v>45072</v>
      </c>
      <c r="C116" s="255" t="s">
        <v>4104</v>
      </c>
      <c r="D116" s="252" t="s">
        <v>4105</v>
      </c>
      <c r="E116" s="252"/>
      <c r="F116" s="249"/>
      <c r="G116" s="272"/>
      <c r="H116" s="272">
        <v>832200</v>
      </c>
      <c r="I116" s="272">
        <f t="shared" si="5"/>
        <v>119533903.82000005</v>
      </c>
      <c r="J116" s="289"/>
      <c r="N116" s="291"/>
      <c r="O116" s="291"/>
    </row>
    <row r="117" spans="1:15" ht="13.5" thickBot="1" x14ac:dyDescent="0.3">
      <c r="A117" s="273"/>
      <c r="B117" s="276" t="s">
        <v>38</v>
      </c>
      <c r="C117" s="279"/>
      <c r="D117" s="277"/>
      <c r="E117" s="277"/>
      <c r="F117" s="278"/>
      <c r="G117" s="274">
        <f>SUM(G88:G116)</f>
        <v>317772620.88999999</v>
      </c>
      <c r="H117" s="274">
        <f>SUM(H88:H116)</f>
        <v>247572011.46000001</v>
      </c>
      <c r="I117" s="274">
        <f>I116</f>
        <v>119533903.82000005</v>
      </c>
      <c r="J117" s="533"/>
      <c r="N117" s="291"/>
      <c r="O117" s="291"/>
    </row>
    <row r="118" spans="1:15" x14ac:dyDescent="0.25">
      <c r="A118" s="304" t="s">
        <v>103</v>
      </c>
      <c r="B118" s="268"/>
      <c r="C118" s="893" t="s">
        <v>5452</v>
      </c>
      <c r="D118" s="894"/>
      <c r="E118" s="894"/>
      <c r="F118" s="895"/>
      <c r="G118" s="269"/>
      <c r="H118" s="269"/>
      <c r="I118" s="269">
        <f>I117-G118+H118</f>
        <v>119533903.82000005</v>
      </c>
      <c r="J118" s="532"/>
    </row>
    <row r="119" spans="1:15" x14ac:dyDescent="0.25">
      <c r="A119" s="270">
        <v>1</v>
      </c>
      <c r="B119" s="271"/>
      <c r="C119" s="255" t="s">
        <v>300</v>
      </c>
      <c r="D119" s="251"/>
      <c r="E119" s="251"/>
      <c r="F119" s="249"/>
      <c r="G119" s="272"/>
      <c r="H119" s="272"/>
      <c r="I119" s="272">
        <f>I118-G119+H119</f>
        <v>119533903.82000005</v>
      </c>
      <c r="J119" s="289"/>
      <c r="K119" s="297"/>
    </row>
    <row r="120" spans="1:15" x14ac:dyDescent="0.25">
      <c r="A120" s="270">
        <v>2</v>
      </c>
      <c r="B120" s="271">
        <v>45078</v>
      </c>
      <c r="C120" s="255" t="s">
        <v>3171</v>
      </c>
      <c r="D120" s="250" t="s">
        <v>3172</v>
      </c>
      <c r="E120" s="251"/>
      <c r="F120" s="249"/>
      <c r="G120" s="272"/>
      <c r="H120" s="272">
        <v>160009.32</v>
      </c>
      <c r="I120" s="272">
        <f t="shared" ref="I120:I130" si="6">I119-G120+H120</f>
        <v>119693913.14000005</v>
      </c>
      <c r="J120" s="289"/>
    </row>
    <row r="121" spans="1:15" x14ac:dyDescent="0.25">
      <c r="A121" s="270">
        <v>3</v>
      </c>
      <c r="B121" s="271"/>
      <c r="C121" s="255" t="s">
        <v>3173</v>
      </c>
      <c r="D121" s="250" t="s">
        <v>3174</v>
      </c>
      <c r="E121" s="251"/>
      <c r="F121" s="249"/>
      <c r="G121" s="272">
        <v>32001.86</v>
      </c>
      <c r="H121" s="272"/>
      <c r="I121" s="272">
        <f t="shared" si="6"/>
        <v>119661911.28000005</v>
      </c>
      <c r="J121" s="289"/>
      <c r="M121" s="298"/>
      <c r="N121" s="298"/>
    </row>
    <row r="122" spans="1:15" x14ac:dyDescent="0.25">
      <c r="A122" s="270">
        <v>4</v>
      </c>
      <c r="B122" s="271"/>
      <c r="C122" s="281" t="s">
        <v>3175</v>
      </c>
      <c r="D122" s="282" t="s">
        <v>3176</v>
      </c>
      <c r="E122" s="251"/>
      <c r="F122" s="249"/>
      <c r="G122" s="272">
        <v>50000</v>
      </c>
      <c r="H122" s="272"/>
      <c r="I122" s="272">
        <f t="shared" si="6"/>
        <v>119611911.28000005</v>
      </c>
      <c r="J122" s="289"/>
      <c r="N122" s="299"/>
    </row>
    <row r="123" spans="1:15" x14ac:dyDescent="0.25">
      <c r="A123" s="270">
        <v>5</v>
      </c>
      <c r="B123" s="271">
        <v>45085</v>
      </c>
      <c r="C123" s="255" t="s">
        <v>4104</v>
      </c>
      <c r="D123" s="251" t="s">
        <v>4105</v>
      </c>
      <c r="E123" s="251"/>
      <c r="F123" s="249"/>
      <c r="G123" s="272"/>
      <c r="H123" s="272">
        <v>2943700</v>
      </c>
      <c r="I123" s="272">
        <f t="shared" si="6"/>
        <v>122555611.28000005</v>
      </c>
      <c r="J123" s="289"/>
      <c r="N123" s="299"/>
    </row>
    <row r="124" spans="1:15" x14ac:dyDescent="0.25">
      <c r="A124" s="270">
        <v>6</v>
      </c>
      <c r="B124" s="271">
        <v>45089</v>
      </c>
      <c r="C124" s="255" t="s">
        <v>3177</v>
      </c>
      <c r="D124" s="251" t="s">
        <v>5453</v>
      </c>
      <c r="E124" s="251" t="s">
        <v>3196</v>
      </c>
      <c r="F124" s="249"/>
      <c r="G124" s="272"/>
      <c r="H124" s="272">
        <v>14841900</v>
      </c>
      <c r="I124" s="272">
        <f t="shared" si="6"/>
        <v>137397511.28000003</v>
      </c>
      <c r="J124" s="289" t="s">
        <v>3199</v>
      </c>
      <c r="M124" s="299"/>
    </row>
    <row r="125" spans="1:15" x14ac:dyDescent="0.25">
      <c r="A125" s="270">
        <v>7</v>
      </c>
      <c r="B125" s="271"/>
      <c r="C125" s="255" t="s">
        <v>3182</v>
      </c>
      <c r="D125" s="251" t="s">
        <v>3655</v>
      </c>
      <c r="E125" s="251"/>
      <c r="F125" s="249"/>
      <c r="G125" s="272"/>
      <c r="H125" s="272">
        <v>182239400</v>
      </c>
      <c r="I125" s="272">
        <f t="shared" si="6"/>
        <v>319636911.28000003</v>
      </c>
      <c r="J125" s="289" t="s">
        <v>3239</v>
      </c>
    </row>
    <row r="126" spans="1:15" x14ac:dyDescent="0.25">
      <c r="A126" s="270">
        <v>8</v>
      </c>
      <c r="B126" s="271">
        <v>45091</v>
      </c>
      <c r="C126" s="255" t="s">
        <v>3177</v>
      </c>
      <c r="D126" s="251" t="s">
        <v>5454</v>
      </c>
      <c r="E126" s="251" t="s">
        <v>5455</v>
      </c>
      <c r="F126" s="249"/>
      <c r="G126" s="272"/>
      <c r="H126" s="272">
        <v>84872725</v>
      </c>
      <c r="I126" s="272">
        <f t="shared" si="6"/>
        <v>404509636.28000003</v>
      </c>
      <c r="J126" s="289" t="s">
        <v>5456</v>
      </c>
      <c r="K126" s="297"/>
      <c r="L126" s="297"/>
      <c r="M126" s="300"/>
      <c r="N126" s="300"/>
    </row>
    <row r="127" spans="1:15" x14ac:dyDescent="0.25">
      <c r="A127" s="270">
        <v>9</v>
      </c>
      <c r="B127" s="271">
        <v>45093</v>
      </c>
      <c r="C127" s="255" t="s">
        <v>3648</v>
      </c>
      <c r="D127" s="252" t="s">
        <v>3649</v>
      </c>
      <c r="E127" s="251" t="s">
        <v>5457</v>
      </c>
      <c r="F127" s="249" t="s">
        <v>3651</v>
      </c>
      <c r="G127" s="272">
        <v>164297000</v>
      </c>
      <c r="H127" s="272"/>
      <c r="I127" s="272">
        <f t="shared" si="6"/>
        <v>240212636.28000003</v>
      </c>
      <c r="J127" s="289" t="s">
        <v>4134</v>
      </c>
    </row>
    <row r="128" spans="1:15" x14ac:dyDescent="0.25">
      <c r="A128" s="270">
        <v>10</v>
      </c>
      <c r="B128" s="271">
        <v>45097</v>
      </c>
      <c r="C128" s="255" t="s">
        <v>3182</v>
      </c>
      <c r="D128" s="251" t="s">
        <v>5458</v>
      </c>
      <c r="E128" s="251" t="s">
        <v>3184</v>
      </c>
      <c r="F128" s="249"/>
      <c r="G128" s="272"/>
      <c r="H128" s="272">
        <v>282500</v>
      </c>
      <c r="I128" s="272">
        <f t="shared" si="6"/>
        <v>240495136.28000003</v>
      </c>
      <c r="J128" s="289" t="s">
        <v>3197</v>
      </c>
    </row>
    <row r="129" spans="1:15" x14ac:dyDescent="0.25">
      <c r="A129" s="270">
        <v>11</v>
      </c>
      <c r="B129" s="271">
        <v>45099</v>
      </c>
      <c r="C129" s="255" t="s">
        <v>3648</v>
      </c>
      <c r="D129" s="251" t="s">
        <v>3649</v>
      </c>
      <c r="E129" s="251" t="s">
        <v>5459</v>
      </c>
      <c r="F129" s="249" t="s">
        <v>3651</v>
      </c>
      <c r="G129" s="272">
        <v>188108000</v>
      </c>
      <c r="H129" s="272"/>
      <c r="I129" s="272">
        <f t="shared" si="6"/>
        <v>52387136.280000031</v>
      </c>
      <c r="J129" s="289" t="s">
        <v>4134</v>
      </c>
      <c r="K129" s="301"/>
    </row>
    <row r="130" spans="1:15" x14ac:dyDescent="0.25">
      <c r="A130" s="270">
        <v>12</v>
      </c>
      <c r="B130" s="271">
        <v>45103</v>
      </c>
      <c r="C130" s="255" t="s">
        <v>3177</v>
      </c>
      <c r="D130" s="251" t="s">
        <v>5460</v>
      </c>
      <c r="E130" s="251" t="s">
        <v>3187</v>
      </c>
      <c r="F130" s="249"/>
      <c r="G130" s="272"/>
      <c r="H130" s="272">
        <v>5443200</v>
      </c>
      <c r="I130" s="272">
        <f t="shared" si="6"/>
        <v>57830336.280000031</v>
      </c>
      <c r="J130" s="289" t="s">
        <v>3198</v>
      </c>
      <c r="N130" s="291"/>
      <c r="O130" s="291"/>
    </row>
    <row r="131" spans="1:15" ht="13.5" thickBot="1" x14ac:dyDescent="0.3">
      <c r="A131" s="273"/>
      <c r="B131" s="276" t="s">
        <v>38</v>
      </c>
      <c r="C131" s="279"/>
      <c r="D131" s="277"/>
      <c r="E131" s="277"/>
      <c r="F131" s="278"/>
      <c r="G131" s="274">
        <f>SUM(G119:G130)</f>
        <v>352487001.86000001</v>
      </c>
      <c r="H131" s="274">
        <f>SUM(H119:H130)</f>
        <v>290783434.31999999</v>
      </c>
      <c r="I131" s="274">
        <f>I130</f>
        <v>57830336.280000031</v>
      </c>
      <c r="J131" s="533"/>
      <c r="N131" s="291"/>
      <c r="O131" s="291"/>
    </row>
    <row r="132" spans="1:15" x14ac:dyDescent="0.25">
      <c r="A132" s="304" t="s">
        <v>104</v>
      </c>
      <c r="B132" s="268"/>
      <c r="C132" s="893" t="s">
        <v>5911</v>
      </c>
      <c r="D132" s="894"/>
      <c r="E132" s="894"/>
      <c r="F132" s="895"/>
      <c r="G132" s="269"/>
      <c r="H132" s="269"/>
      <c r="I132" s="269">
        <f>I131-G132+H132</f>
        <v>57830336.280000031</v>
      </c>
      <c r="J132" s="532"/>
    </row>
    <row r="133" spans="1:15" x14ac:dyDescent="0.25">
      <c r="A133" s="270">
        <v>1</v>
      </c>
      <c r="B133" s="271"/>
      <c r="C133" s="255" t="s">
        <v>300</v>
      </c>
      <c r="D133" s="251"/>
      <c r="E133" s="251"/>
      <c r="F133" s="249"/>
      <c r="G133" s="272"/>
      <c r="H133" s="272"/>
      <c r="I133" s="272">
        <f>I132-G133+H133</f>
        <v>57830336.280000031</v>
      </c>
      <c r="J133" s="289"/>
      <c r="K133" s="297"/>
    </row>
    <row r="134" spans="1:15" x14ac:dyDescent="0.25">
      <c r="A134" s="270">
        <v>2</v>
      </c>
      <c r="B134" s="271">
        <v>45108</v>
      </c>
      <c r="C134" s="255" t="s">
        <v>3171</v>
      </c>
      <c r="D134" s="250" t="s">
        <v>3172</v>
      </c>
      <c r="E134" s="251"/>
      <c r="F134" s="249"/>
      <c r="G134" s="272"/>
      <c r="H134" s="272">
        <v>156053.25</v>
      </c>
      <c r="I134" s="272">
        <f t="shared" ref="I134:I155" si="7">I133-G134+H134</f>
        <v>57986389.530000031</v>
      </c>
      <c r="J134" s="289"/>
    </row>
    <row r="135" spans="1:15" x14ac:dyDescent="0.25">
      <c r="A135" s="270">
        <v>3</v>
      </c>
      <c r="B135" s="271"/>
      <c r="C135" s="255" t="s">
        <v>3173</v>
      </c>
      <c r="D135" s="250" t="s">
        <v>3174</v>
      </c>
      <c r="E135" s="251"/>
      <c r="F135" s="249"/>
      <c r="G135" s="272">
        <v>31210.65</v>
      </c>
      <c r="H135" s="272"/>
      <c r="I135" s="272">
        <f t="shared" si="7"/>
        <v>57955178.880000032</v>
      </c>
      <c r="J135" s="289"/>
      <c r="M135" s="298"/>
      <c r="N135" s="298"/>
    </row>
    <row r="136" spans="1:15" x14ac:dyDescent="0.25">
      <c r="A136" s="270">
        <v>4</v>
      </c>
      <c r="B136" s="271"/>
      <c r="C136" s="281" t="s">
        <v>3175</v>
      </c>
      <c r="D136" s="282" t="s">
        <v>3176</v>
      </c>
      <c r="E136" s="251"/>
      <c r="F136" s="249"/>
      <c r="G136" s="272">
        <v>50000</v>
      </c>
      <c r="H136" s="272"/>
      <c r="I136" s="272">
        <f t="shared" si="7"/>
        <v>57905178.880000032</v>
      </c>
      <c r="J136" s="289"/>
      <c r="N136" s="299"/>
    </row>
    <row r="137" spans="1:15" x14ac:dyDescent="0.25">
      <c r="A137" s="270">
        <v>5</v>
      </c>
      <c r="B137" s="271">
        <v>45110</v>
      </c>
      <c r="C137" s="255" t="s">
        <v>3188</v>
      </c>
      <c r="D137" s="251" t="s">
        <v>5912</v>
      </c>
      <c r="E137" s="251" t="s">
        <v>3190</v>
      </c>
      <c r="F137" s="249"/>
      <c r="G137" s="272"/>
      <c r="H137" s="272">
        <v>3934844</v>
      </c>
      <c r="I137" s="272">
        <f t="shared" si="7"/>
        <v>61840022.880000032</v>
      </c>
      <c r="J137" s="289" t="s">
        <v>4135</v>
      </c>
      <c r="N137" s="299"/>
    </row>
    <row r="138" spans="1:15" x14ac:dyDescent="0.25">
      <c r="A138" s="270">
        <v>6</v>
      </c>
      <c r="B138" s="271"/>
      <c r="C138" s="255" t="s">
        <v>3180</v>
      </c>
      <c r="D138" s="251" t="s">
        <v>5913</v>
      </c>
      <c r="E138" s="251"/>
      <c r="F138" s="249"/>
      <c r="G138" s="272"/>
      <c r="H138" s="272">
        <v>40500000</v>
      </c>
      <c r="I138" s="272">
        <f t="shared" si="7"/>
        <v>102340022.88000003</v>
      </c>
      <c r="J138" s="289"/>
      <c r="M138" s="299"/>
    </row>
    <row r="139" spans="1:15" x14ac:dyDescent="0.25">
      <c r="A139" s="270">
        <v>7</v>
      </c>
      <c r="B139" s="271">
        <v>45111</v>
      </c>
      <c r="C139" s="255" t="s">
        <v>4104</v>
      </c>
      <c r="D139" s="251" t="s">
        <v>4105</v>
      </c>
      <c r="E139" s="251"/>
      <c r="F139" s="249"/>
      <c r="G139" s="272"/>
      <c r="H139" s="272">
        <v>1618750</v>
      </c>
      <c r="I139" s="272">
        <f t="shared" si="7"/>
        <v>103958772.88000003</v>
      </c>
      <c r="J139" s="289"/>
    </row>
    <row r="140" spans="1:15" x14ac:dyDescent="0.25">
      <c r="A140" s="270">
        <v>8</v>
      </c>
      <c r="B140" s="271">
        <v>45112</v>
      </c>
      <c r="C140" s="255" t="s">
        <v>3180</v>
      </c>
      <c r="D140" s="251" t="s">
        <v>5914</v>
      </c>
      <c r="E140" s="251"/>
      <c r="F140" s="249"/>
      <c r="G140" s="272"/>
      <c r="H140" s="272">
        <v>40500000</v>
      </c>
      <c r="I140" s="272">
        <f t="shared" si="7"/>
        <v>144458772.88000003</v>
      </c>
      <c r="J140" s="289"/>
      <c r="K140" s="297"/>
      <c r="L140" s="297"/>
      <c r="M140" s="300"/>
      <c r="N140" s="300"/>
    </row>
    <row r="141" spans="1:15" x14ac:dyDescent="0.25">
      <c r="A141" s="270">
        <v>9</v>
      </c>
      <c r="B141" s="271"/>
      <c r="C141" s="255" t="s">
        <v>3177</v>
      </c>
      <c r="D141" s="251" t="s">
        <v>5915</v>
      </c>
      <c r="E141" s="252" t="s">
        <v>5916</v>
      </c>
      <c r="F141" s="249"/>
      <c r="G141" s="272"/>
      <c r="H141" s="272">
        <v>4857840</v>
      </c>
      <c r="I141" s="272">
        <f t="shared" si="7"/>
        <v>149316612.88000003</v>
      </c>
      <c r="J141" s="538" t="s">
        <v>4122</v>
      </c>
    </row>
    <row r="142" spans="1:15" x14ac:dyDescent="0.25">
      <c r="A142" s="270">
        <v>10</v>
      </c>
      <c r="B142" s="271"/>
      <c r="C142" s="255" t="s">
        <v>3177</v>
      </c>
      <c r="D142" s="251" t="s">
        <v>5917</v>
      </c>
      <c r="E142" s="251" t="s">
        <v>5933</v>
      </c>
      <c r="F142" s="249"/>
      <c r="G142" s="272"/>
      <c r="H142" s="272">
        <v>5009274</v>
      </c>
      <c r="I142" s="272">
        <f t="shared" si="7"/>
        <v>154325886.88000003</v>
      </c>
      <c r="J142" s="538" t="s">
        <v>4122</v>
      </c>
    </row>
    <row r="143" spans="1:15" x14ac:dyDescent="0.25">
      <c r="A143" s="270">
        <v>11</v>
      </c>
      <c r="B143" s="271">
        <v>45117</v>
      </c>
      <c r="C143" s="255" t="s">
        <v>3180</v>
      </c>
      <c r="D143" s="251" t="s">
        <v>5918</v>
      </c>
      <c r="E143" s="251"/>
      <c r="F143" s="249"/>
      <c r="G143" s="272"/>
      <c r="H143" s="272">
        <v>41223000</v>
      </c>
      <c r="I143" s="272">
        <f t="shared" si="7"/>
        <v>195548886.88000003</v>
      </c>
      <c r="J143" s="289"/>
      <c r="K143" s="301"/>
    </row>
    <row r="144" spans="1:15" x14ac:dyDescent="0.25">
      <c r="A144" s="270">
        <v>12</v>
      </c>
      <c r="B144" s="271">
        <v>45118</v>
      </c>
      <c r="C144" s="255" t="s">
        <v>3177</v>
      </c>
      <c r="D144" s="251" t="s">
        <v>5919</v>
      </c>
      <c r="E144" s="251" t="s">
        <v>4108</v>
      </c>
      <c r="F144" s="249"/>
      <c r="G144" s="272"/>
      <c r="H144" s="272">
        <v>49438950</v>
      </c>
      <c r="I144" s="272">
        <f t="shared" si="7"/>
        <v>244987836.88000003</v>
      </c>
      <c r="J144" s="289" t="s">
        <v>5456</v>
      </c>
      <c r="N144" s="291"/>
      <c r="O144" s="291"/>
    </row>
    <row r="145" spans="1:15" x14ac:dyDescent="0.25">
      <c r="A145" s="270">
        <v>13</v>
      </c>
      <c r="B145" s="271">
        <v>45119</v>
      </c>
      <c r="C145" s="255" t="s">
        <v>3177</v>
      </c>
      <c r="D145" s="251" t="s">
        <v>5920</v>
      </c>
      <c r="E145" s="251" t="s">
        <v>3655</v>
      </c>
      <c r="F145" s="249"/>
      <c r="G145" s="272"/>
      <c r="H145" s="272">
        <v>79375625</v>
      </c>
      <c r="I145" s="272">
        <f t="shared" si="7"/>
        <v>324363461.88</v>
      </c>
      <c r="J145" s="289" t="s">
        <v>3239</v>
      </c>
      <c r="K145" s="298"/>
      <c r="L145" s="298"/>
      <c r="M145" s="298"/>
      <c r="N145" s="291"/>
      <c r="O145" s="291"/>
    </row>
    <row r="146" spans="1:15" x14ac:dyDescent="0.25">
      <c r="A146" s="270">
        <v>14</v>
      </c>
      <c r="B146" s="271"/>
      <c r="C146" s="255" t="s">
        <v>3188</v>
      </c>
      <c r="D146" s="251" t="s">
        <v>5921</v>
      </c>
      <c r="E146" s="252" t="s">
        <v>3190</v>
      </c>
      <c r="F146" s="249"/>
      <c r="G146" s="272"/>
      <c r="H146" s="272">
        <v>10258080</v>
      </c>
      <c r="I146" s="272">
        <f t="shared" si="7"/>
        <v>334621541.88</v>
      </c>
      <c r="J146" s="289" t="s">
        <v>4135</v>
      </c>
      <c r="M146" s="299"/>
      <c r="N146" s="291"/>
      <c r="O146" s="291"/>
    </row>
    <row r="147" spans="1:15" x14ac:dyDescent="0.25">
      <c r="A147" s="270">
        <v>15</v>
      </c>
      <c r="B147" s="271"/>
      <c r="C147" s="255" t="s">
        <v>3177</v>
      </c>
      <c r="D147" s="251" t="s">
        <v>5922</v>
      </c>
      <c r="E147" s="251" t="s">
        <v>3196</v>
      </c>
      <c r="F147" s="249"/>
      <c r="G147" s="272"/>
      <c r="H147" s="272">
        <v>7841900</v>
      </c>
      <c r="I147" s="272">
        <f t="shared" si="7"/>
        <v>342463441.88</v>
      </c>
      <c r="J147" s="289" t="s">
        <v>3199</v>
      </c>
      <c r="N147" s="291"/>
      <c r="O147" s="291"/>
    </row>
    <row r="148" spans="1:15" x14ac:dyDescent="0.25">
      <c r="A148" s="270">
        <v>16</v>
      </c>
      <c r="B148" s="271">
        <v>45124</v>
      </c>
      <c r="C148" s="255" t="s">
        <v>3177</v>
      </c>
      <c r="D148" s="251" t="s">
        <v>5923</v>
      </c>
      <c r="E148" s="251" t="s">
        <v>5924</v>
      </c>
      <c r="F148" s="249" t="s">
        <v>3184</v>
      </c>
      <c r="G148" s="272"/>
      <c r="H148" s="272">
        <v>1730175</v>
      </c>
      <c r="I148" s="272">
        <f t="shared" si="7"/>
        <v>344193616.88</v>
      </c>
      <c r="J148" s="289" t="s">
        <v>3197</v>
      </c>
      <c r="K148" s="298"/>
      <c r="L148" s="298"/>
      <c r="M148" s="298"/>
      <c r="N148" s="291"/>
      <c r="O148" s="291"/>
    </row>
    <row r="149" spans="1:15" x14ac:dyDescent="0.25">
      <c r="A149" s="270">
        <v>17</v>
      </c>
      <c r="B149" s="271"/>
      <c r="C149" s="255" t="s">
        <v>3177</v>
      </c>
      <c r="D149" s="251" t="s">
        <v>5925</v>
      </c>
      <c r="E149" s="251" t="s">
        <v>3187</v>
      </c>
      <c r="F149" s="249"/>
      <c r="G149" s="272"/>
      <c r="H149" s="272">
        <v>3507000</v>
      </c>
      <c r="I149" s="272">
        <f t="shared" si="7"/>
        <v>347700616.88</v>
      </c>
      <c r="J149" s="289" t="s">
        <v>3198</v>
      </c>
      <c r="M149" s="299"/>
      <c r="N149" s="291"/>
      <c r="O149" s="291"/>
    </row>
    <row r="150" spans="1:15" x14ac:dyDescent="0.25">
      <c r="A150" s="270">
        <v>18</v>
      </c>
      <c r="B150" s="271">
        <v>45127</v>
      </c>
      <c r="C150" s="255" t="s">
        <v>3188</v>
      </c>
      <c r="D150" s="251" t="s">
        <v>5926</v>
      </c>
      <c r="E150" s="251" t="s">
        <v>3190</v>
      </c>
      <c r="F150" s="249"/>
      <c r="G150" s="272"/>
      <c r="H150" s="272">
        <v>3250800</v>
      </c>
      <c r="I150" s="272">
        <f t="shared" si="7"/>
        <v>350951416.88</v>
      </c>
      <c r="J150" s="289" t="s">
        <v>4135</v>
      </c>
      <c r="N150" s="291"/>
      <c r="O150" s="291"/>
    </row>
    <row r="151" spans="1:15" x14ac:dyDescent="0.25">
      <c r="A151" s="270">
        <v>19</v>
      </c>
      <c r="B151" s="271">
        <v>45128</v>
      </c>
      <c r="C151" s="255" t="s">
        <v>3177</v>
      </c>
      <c r="D151" s="251" t="s">
        <v>5927</v>
      </c>
      <c r="E151" s="251" t="s">
        <v>3655</v>
      </c>
      <c r="F151" s="249"/>
      <c r="G151" s="272"/>
      <c r="H151" s="272">
        <v>127433950</v>
      </c>
      <c r="I151" s="272">
        <f t="shared" si="7"/>
        <v>478385366.88</v>
      </c>
      <c r="J151" s="289" t="s">
        <v>3239</v>
      </c>
      <c r="M151" s="299"/>
      <c r="N151" s="291"/>
      <c r="O151" s="291"/>
    </row>
    <row r="152" spans="1:15" x14ac:dyDescent="0.25">
      <c r="A152" s="270">
        <v>20</v>
      </c>
      <c r="B152" s="271">
        <v>45131</v>
      </c>
      <c r="C152" s="255" t="s">
        <v>3180</v>
      </c>
      <c r="D152" s="251" t="s">
        <v>5928</v>
      </c>
      <c r="E152" s="251"/>
      <c r="F152" s="249"/>
      <c r="G152" s="272"/>
      <c r="H152" s="272">
        <v>56000000</v>
      </c>
      <c r="I152" s="272">
        <f t="shared" si="7"/>
        <v>534385366.88</v>
      </c>
      <c r="J152" s="289"/>
      <c r="M152" s="299"/>
      <c r="N152" s="291"/>
      <c r="O152" s="291"/>
    </row>
    <row r="153" spans="1:15" x14ac:dyDescent="0.25">
      <c r="A153" s="270">
        <v>21</v>
      </c>
      <c r="B153" s="271">
        <v>45132</v>
      </c>
      <c r="C153" s="255" t="s">
        <v>3648</v>
      </c>
      <c r="D153" s="251" t="s">
        <v>3649</v>
      </c>
      <c r="E153" s="251" t="s">
        <v>5929</v>
      </c>
      <c r="F153" s="249" t="s">
        <v>3651</v>
      </c>
      <c r="G153" s="272">
        <v>226473000</v>
      </c>
      <c r="H153" s="272"/>
      <c r="I153" s="272">
        <f t="shared" si="7"/>
        <v>307912366.88</v>
      </c>
      <c r="J153" s="289" t="s">
        <v>4134</v>
      </c>
      <c r="N153" s="291"/>
      <c r="O153" s="291"/>
    </row>
    <row r="154" spans="1:15" x14ac:dyDescent="0.25">
      <c r="A154" s="270">
        <v>22</v>
      </c>
      <c r="B154" s="271"/>
      <c r="C154" s="255" t="s">
        <v>3182</v>
      </c>
      <c r="D154" s="251" t="s">
        <v>5930</v>
      </c>
      <c r="E154" s="251"/>
      <c r="F154" s="249"/>
      <c r="G154" s="272"/>
      <c r="H154" s="272">
        <v>3731049</v>
      </c>
      <c r="I154" s="272">
        <f t="shared" si="7"/>
        <v>311643415.88</v>
      </c>
      <c r="J154" s="289" t="s">
        <v>5932</v>
      </c>
      <c r="M154" s="299"/>
      <c r="N154" s="291"/>
      <c r="O154" s="291"/>
    </row>
    <row r="155" spans="1:15" x14ac:dyDescent="0.25">
      <c r="A155" s="270">
        <v>23</v>
      </c>
      <c r="B155" s="271">
        <v>45138</v>
      </c>
      <c r="C155" s="255" t="s">
        <v>3180</v>
      </c>
      <c r="D155" s="251" t="s">
        <v>5931</v>
      </c>
      <c r="E155" s="251"/>
      <c r="F155" s="249"/>
      <c r="G155" s="272"/>
      <c r="H155" s="272">
        <v>54949000</v>
      </c>
      <c r="I155" s="272">
        <f t="shared" si="7"/>
        <v>366592415.88</v>
      </c>
      <c r="J155" s="289"/>
      <c r="M155" s="299"/>
      <c r="N155" s="291"/>
      <c r="O155" s="291"/>
    </row>
    <row r="156" spans="1:15" ht="13.5" thickBot="1" x14ac:dyDescent="0.3">
      <c r="A156" s="273"/>
      <c r="B156" s="276" t="s">
        <v>38</v>
      </c>
      <c r="C156" s="279"/>
      <c r="D156" s="277"/>
      <c r="E156" s="277"/>
      <c r="F156" s="278"/>
      <c r="G156" s="274">
        <f>SUM(G133:G155)</f>
        <v>226554210.65000001</v>
      </c>
      <c r="H156" s="274">
        <f>SUM(H133:H155)</f>
        <v>535316290.25</v>
      </c>
      <c r="I156" s="274">
        <f>I155</f>
        <v>366592415.88</v>
      </c>
      <c r="J156" s="533"/>
      <c r="N156" s="291"/>
      <c r="O156" s="291"/>
    </row>
    <row r="157" spans="1:15" x14ac:dyDescent="0.25">
      <c r="A157" s="304" t="s">
        <v>105</v>
      </c>
      <c r="B157" s="268"/>
      <c r="C157" s="893" t="s">
        <v>6295</v>
      </c>
      <c r="D157" s="894"/>
      <c r="E157" s="894"/>
      <c r="F157" s="895"/>
      <c r="G157" s="269"/>
      <c r="H157" s="269"/>
      <c r="I157" s="269">
        <f>I156-G157+H157</f>
        <v>366592415.88</v>
      </c>
      <c r="J157" s="532"/>
    </row>
    <row r="158" spans="1:15" x14ac:dyDescent="0.25">
      <c r="A158" s="270">
        <v>1</v>
      </c>
      <c r="B158" s="271"/>
      <c r="C158" s="255" t="s">
        <v>300</v>
      </c>
      <c r="D158" s="251"/>
      <c r="E158" s="251"/>
      <c r="F158" s="249"/>
      <c r="G158" s="272"/>
      <c r="H158" s="272"/>
      <c r="I158" s="272">
        <f>I157-G158+H158</f>
        <v>366592415.88</v>
      </c>
      <c r="J158" s="289"/>
      <c r="K158" s="297"/>
    </row>
    <row r="159" spans="1:15" x14ac:dyDescent="0.25">
      <c r="A159" s="270">
        <v>2</v>
      </c>
      <c r="B159" s="271">
        <v>45139</v>
      </c>
      <c r="C159" s="255" t="s">
        <v>3171</v>
      </c>
      <c r="D159" s="250" t="s">
        <v>3172</v>
      </c>
      <c r="E159" s="250"/>
      <c r="F159" s="249"/>
      <c r="G159" s="275"/>
      <c r="H159" s="275">
        <v>308286.28000000003</v>
      </c>
      <c r="I159" s="272">
        <f t="shared" ref="I159:I173" si="8">I158-G159+H159</f>
        <v>366900702.15999997</v>
      </c>
      <c r="J159" s="289"/>
    </row>
    <row r="160" spans="1:15" x14ac:dyDescent="0.25">
      <c r="A160" s="270">
        <v>3</v>
      </c>
      <c r="B160" s="271"/>
      <c r="C160" s="255" t="s">
        <v>3173</v>
      </c>
      <c r="D160" s="250" t="s">
        <v>3174</v>
      </c>
      <c r="E160" s="250"/>
      <c r="F160" s="249"/>
      <c r="G160" s="275">
        <v>61657.25</v>
      </c>
      <c r="H160" s="275"/>
      <c r="I160" s="272">
        <f t="shared" si="8"/>
        <v>366839044.90999997</v>
      </c>
      <c r="J160" s="289"/>
      <c r="M160" s="298"/>
      <c r="N160" s="298"/>
    </row>
    <row r="161" spans="1:15" x14ac:dyDescent="0.25">
      <c r="A161" s="270">
        <v>4</v>
      </c>
      <c r="B161" s="280"/>
      <c r="C161" s="281" t="s">
        <v>3175</v>
      </c>
      <c r="D161" s="282" t="s">
        <v>3176</v>
      </c>
      <c r="E161" s="282"/>
      <c r="F161" s="249"/>
      <c r="G161" s="283">
        <v>50000</v>
      </c>
      <c r="H161" s="283"/>
      <c r="I161" s="272">
        <f t="shared" si="8"/>
        <v>366789044.90999997</v>
      </c>
      <c r="J161" s="289"/>
      <c r="N161" s="299"/>
    </row>
    <row r="162" spans="1:15" x14ac:dyDescent="0.25">
      <c r="A162" s="270">
        <v>5</v>
      </c>
      <c r="B162" s="271"/>
      <c r="C162" s="255" t="s">
        <v>3182</v>
      </c>
      <c r="D162" s="251" t="s">
        <v>6296</v>
      </c>
      <c r="E162" s="251"/>
      <c r="F162" s="249"/>
      <c r="G162" s="272"/>
      <c r="H162" s="272">
        <v>2663900</v>
      </c>
      <c r="I162" s="272">
        <f t="shared" si="8"/>
        <v>369452944.90999997</v>
      </c>
      <c r="J162" s="289" t="s">
        <v>3199</v>
      </c>
      <c r="N162" s="299"/>
    </row>
    <row r="163" spans="1:15" x14ac:dyDescent="0.25">
      <c r="A163" s="270">
        <v>6</v>
      </c>
      <c r="B163" s="271">
        <v>45146</v>
      </c>
      <c r="C163" s="255" t="s">
        <v>3648</v>
      </c>
      <c r="D163" s="251" t="s">
        <v>6297</v>
      </c>
      <c r="E163" s="251" t="s">
        <v>6298</v>
      </c>
      <c r="F163" s="249" t="s">
        <v>3651</v>
      </c>
      <c r="G163" s="272">
        <v>229875000</v>
      </c>
      <c r="H163" s="272"/>
      <c r="I163" s="272">
        <f t="shared" si="8"/>
        <v>139577944.90999997</v>
      </c>
      <c r="J163" s="289" t="s">
        <v>4134</v>
      </c>
      <c r="M163" s="299"/>
    </row>
    <row r="164" spans="1:15" x14ac:dyDescent="0.25">
      <c r="A164" s="270">
        <v>7</v>
      </c>
      <c r="B164" s="271"/>
      <c r="C164" s="255" t="s">
        <v>3182</v>
      </c>
      <c r="D164" s="251" t="s">
        <v>4212</v>
      </c>
      <c r="E164" s="251"/>
      <c r="F164" s="249"/>
      <c r="G164" s="272"/>
      <c r="H164" s="272">
        <v>9828000</v>
      </c>
      <c r="I164" s="272">
        <f t="shared" si="8"/>
        <v>149405944.90999997</v>
      </c>
      <c r="J164" s="289" t="s">
        <v>3198</v>
      </c>
    </row>
    <row r="165" spans="1:15" x14ac:dyDescent="0.25">
      <c r="A165" s="270">
        <v>8</v>
      </c>
      <c r="B165" s="271">
        <v>45147</v>
      </c>
      <c r="C165" s="255" t="s">
        <v>4104</v>
      </c>
      <c r="D165" s="251" t="s">
        <v>4105</v>
      </c>
      <c r="E165" s="251"/>
      <c r="F165" s="249"/>
      <c r="G165" s="272"/>
      <c r="H165" s="272">
        <v>6632000</v>
      </c>
      <c r="I165" s="272">
        <f t="shared" si="8"/>
        <v>156037944.90999997</v>
      </c>
      <c r="J165" s="289"/>
      <c r="K165" s="297"/>
      <c r="L165" s="297"/>
      <c r="M165" s="300"/>
      <c r="N165" s="300"/>
    </row>
    <row r="166" spans="1:15" x14ac:dyDescent="0.25">
      <c r="A166" s="270">
        <v>9</v>
      </c>
      <c r="B166" s="271">
        <v>45148</v>
      </c>
      <c r="C166" s="255" t="s">
        <v>3177</v>
      </c>
      <c r="D166" s="251" t="s">
        <v>6299</v>
      </c>
      <c r="E166" s="251" t="s">
        <v>3196</v>
      </c>
      <c r="F166" s="249"/>
      <c r="G166" s="272"/>
      <c r="H166" s="272">
        <v>575400</v>
      </c>
      <c r="I166" s="272">
        <f t="shared" si="8"/>
        <v>156613344.90999997</v>
      </c>
      <c r="J166" s="289" t="s">
        <v>3199</v>
      </c>
    </row>
    <row r="167" spans="1:15" x14ac:dyDescent="0.25">
      <c r="A167" s="270">
        <v>10</v>
      </c>
      <c r="B167" s="271"/>
      <c r="C167" s="255" t="s">
        <v>3182</v>
      </c>
      <c r="D167" s="251" t="s">
        <v>6300</v>
      </c>
      <c r="E167" s="251"/>
      <c r="F167" s="249"/>
      <c r="G167" s="272"/>
      <c r="H167" s="272">
        <v>86501325</v>
      </c>
      <c r="I167" s="272">
        <f t="shared" si="8"/>
        <v>243114669.90999997</v>
      </c>
      <c r="J167" s="289" t="s">
        <v>5456</v>
      </c>
    </row>
    <row r="168" spans="1:15" x14ac:dyDescent="0.25">
      <c r="A168" s="270">
        <v>11</v>
      </c>
      <c r="B168" s="271">
        <v>45152</v>
      </c>
      <c r="C168" s="255" t="s">
        <v>3180</v>
      </c>
      <c r="D168" s="251" t="s">
        <v>6301</v>
      </c>
      <c r="E168" s="251"/>
      <c r="F168" s="249"/>
      <c r="G168" s="272"/>
      <c r="H168" s="272">
        <v>52270000</v>
      </c>
      <c r="I168" s="272">
        <f t="shared" si="8"/>
        <v>295384669.90999997</v>
      </c>
      <c r="J168" s="289"/>
      <c r="K168" s="301"/>
    </row>
    <row r="169" spans="1:15" x14ac:dyDescent="0.25">
      <c r="A169" s="270">
        <v>12</v>
      </c>
      <c r="B169" s="271">
        <v>45156</v>
      </c>
      <c r="C169" s="255" t="s">
        <v>3180</v>
      </c>
      <c r="D169" s="251" t="s">
        <v>6302</v>
      </c>
      <c r="E169" s="251"/>
      <c r="F169" s="249"/>
      <c r="G169" s="272"/>
      <c r="H169" s="272">
        <v>53000000</v>
      </c>
      <c r="I169" s="272">
        <f t="shared" si="8"/>
        <v>348384669.90999997</v>
      </c>
      <c r="J169" s="289"/>
      <c r="N169" s="291"/>
      <c r="O169" s="291"/>
    </row>
    <row r="170" spans="1:15" x14ac:dyDescent="0.25">
      <c r="A170" s="270">
        <v>13</v>
      </c>
      <c r="B170" s="271">
        <v>45159</v>
      </c>
      <c r="C170" s="255" t="s">
        <v>3648</v>
      </c>
      <c r="D170" s="252" t="s">
        <v>3649</v>
      </c>
      <c r="E170" s="251" t="s">
        <v>6303</v>
      </c>
      <c r="F170" s="249" t="s">
        <v>3651</v>
      </c>
      <c r="G170" s="272">
        <v>319218000</v>
      </c>
      <c r="H170" s="272"/>
      <c r="I170" s="272">
        <f t="shared" si="8"/>
        <v>29166669.909999967</v>
      </c>
      <c r="J170" s="289" t="s">
        <v>4134</v>
      </c>
      <c r="K170" s="298"/>
      <c r="L170" s="298"/>
      <c r="M170" s="298"/>
      <c r="N170" s="291"/>
      <c r="O170" s="291"/>
    </row>
    <row r="171" spans="1:15" x14ac:dyDescent="0.25">
      <c r="A171" s="270">
        <v>14</v>
      </c>
      <c r="B171" s="271">
        <v>45160</v>
      </c>
      <c r="C171" s="255" t="s">
        <v>3177</v>
      </c>
      <c r="D171" s="251" t="s">
        <v>6304</v>
      </c>
      <c r="E171" s="251" t="s">
        <v>6305</v>
      </c>
      <c r="F171" s="249"/>
      <c r="G171" s="272"/>
      <c r="H171" s="272">
        <v>62780900</v>
      </c>
      <c r="I171" s="272">
        <f t="shared" si="8"/>
        <v>91947569.909999967</v>
      </c>
      <c r="J171" s="289" t="s">
        <v>3239</v>
      </c>
      <c r="M171" s="299"/>
      <c r="N171" s="291"/>
      <c r="O171" s="291"/>
    </row>
    <row r="172" spans="1:15" x14ac:dyDescent="0.25">
      <c r="A172" s="270">
        <v>15</v>
      </c>
      <c r="B172" s="271"/>
      <c r="C172" s="255" t="s">
        <v>3182</v>
      </c>
      <c r="D172" s="251" t="s">
        <v>3666</v>
      </c>
      <c r="E172" s="251"/>
      <c r="F172" s="249"/>
      <c r="G172" s="272"/>
      <c r="H172" s="272">
        <v>3783717</v>
      </c>
      <c r="I172" s="272">
        <f t="shared" si="8"/>
        <v>95731286.909999967</v>
      </c>
      <c r="J172" s="289" t="s">
        <v>3671</v>
      </c>
      <c r="N172" s="291"/>
      <c r="O172" s="291"/>
    </row>
    <row r="173" spans="1:15" x14ac:dyDescent="0.25">
      <c r="A173" s="270">
        <v>16</v>
      </c>
      <c r="B173" s="271">
        <v>45163</v>
      </c>
      <c r="C173" s="255" t="s">
        <v>3188</v>
      </c>
      <c r="D173" s="251" t="s">
        <v>6306</v>
      </c>
      <c r="E173" s="251" t="s">
        <v>3190</v>
      </c>
      <c r="F173" s="249"/>
      <c r="G173" s="272"/>
      <c r="H173" s="272">
        <v>12139347</v>
      </c>
      <c r="I173" s="272">
        <f t="shared" si="8"/>
        <v>107870633.90999997</v>
      </c>
      <c r="J173" s="289" t="s">
        <v>4135</v>
      </c>
      <c r="K173" s="298"/>
      <c r="L173" s="298"/>
      <c r="M173" s="298"/>
      <c r="N173" s="291"/>
      <c r="O173" s="291"/>
    </row>
    <row r="174" spans="1:15" ht="13.5" thickBot="1" x14ac:dyDescent="0.3">
      <c r="A174" s="273"/>
      <c r="B174" s="276" t="s">
        <v>38</v>
      </c>
      <c r="C174" s="279"/>
      <c r="D174" s="277"/>
      <c r="E174" s="277"/>
      <c r="F174" s="278"/>
      <c r="G174" s="274">
        <f>SUM(G158:G173)</f>
        <v>549204657.25</v>
      </c>
      <c r="H174" s="274">
        <f>SUM(H158:H173)</f>
        <v>290482875.27999997</v>
      </c>
      <c r="I174" s="274">
        <f>I173</f>
        <v>107870633.90999997</v>
      </c>
      <c r="J174" s="533"/>
      <c r="N174" s="291"/>
      <c r="O174" s="291"/>
    </row>
    <row r="175" spans="1:15" x14ac:dyDescent="0.25">
      <c r="A175" s="304" t="s">
        <v>106</v>
      </c>
      <c r="B175" s="268"/>
      <c r="C175" s="893" t="s">
        <v>6570</v>
      </c>
      <c r="D175" s="894"/>
      <c r="E175" s="894"/>
      <c r="F175" s="895"/>
      <c r="G175" s="269"/>
      <c r="H175" s="269"/>
      <c r="I175" s="269">
        <f>I174-G175+H175</f>
        <v>107870633.90999997</v>
      </c>
      <c r="J175" s="532"/>
    </row>
    <row r="176" spans="1:15" x14ac:dyDescent="0.25">
      <c r="A176" s="270">
        <v>1</v>
      </c>
      <c r="B176" s="271"/>
      <c r="C176" s="255" t="s">
        <v>300</v>
      </c>
      <c r="D176" s="251"/>
      <c r="E176" s="251"/>
      <c r="F176" s="249"/>
      <c r="G176" s="272"/>
      <c r="H176" s="272"/>
      <c r="I176" s="272">
        <f>I175-G176+H176</f>
        <v>107870633.90999997</v>
      </c>
      <c r="J176" s="289"/>
      <c r="K176" s="297"/>
    </row>
    <row r="177" spans="1:15" x14ac:dyDescent="0.25">
      <c r="A177" s="270">
        <v>2</v>
      </c>
      <c r="B177" s="271">
        <v>45170</v>
      </c>
      <c r="C177" s="255" t="s">
        <v>3171</v>
      </c>
      <c r="D177" s="250" t="s">
        <v>3172</v>
      </c>
      <c r="E177" s="250"/>
      <c r="F177" s="249"/>
      <c r="G177" s="275"/>
      <c r="H177" s="275">
        <v>241814.55</v>
      </c>
      <c r="I177" s="272">
        <f>I176-G177+H177</f>
        <v>108112448.45999996</v>
      </c>
      <c r="J177" s="289"/>
    </row>
    <row r="178" spans="1:15" x14ac:dyDescent="0.25">
      <c r="A178" s="270">
        <v>3</v>
      </c>
      <c r="B178" s="271"/>
      <c r="C178" s="255" t="s">
        <v>3173</v>
      </c>
      <c r="D178" s="250" t="s">
        <v>3174</v>
      </c>
      <c r="E178" s="250"/>
      <c r="F178" s="249"/>
      <c r="G178" s="275">
        <v>48362.91</v>
      </c>
      <c r="H178" s="275"/>
      <c r="I178" s="272">
        <f t="shared" ref="I178:I191" si="9">I177-G178+H178</f>
        <v>108064085.54999997</v>
      </c>
      <c r="J178" s="289"/>
      <c r="M178" s="298"/>
      <c r="N178" s="298"/>
    </row>
    <row r="179" spans="1:15" x14ac:dyDescent="0.25">
      <c r="A179" s="270">
        <v>4</v>
      </c>
      <c r="B179" s="280"/>
      <c r="C179" s="281" t="s">
        <v>3175</v>
      </c>
      <c r="D179" s="282" t="s">
        <v>3176</v>
      </c>
      <c r="E179" s="282"/>
      <c r="F179" s="249"/>
      <c r="G179" s="283">
        <v>50000</v>
      </c>
      <c r="H179" s="283"/>
      <c r="I179" s="272">
        <f t="shared" si="9"/>
        <v>108014085.54999997</v>
      </c>
      <c r="J179" s="289"/>
      <c r="N179" s="299"/>
    </row>
    <row r="180" spans="1:15" x14ac:dyDescent="0.25">
      <c r="A180" s="270">
        <v>5</v>
      </c>
      <c r="B180" s="271"/>
      <c r="C180" s="255" t="s">
        <v>3177</v>
      </c>
      <c r="D180" s="251" t="s">
        <v>6571</v>
      </c>
      <c r="E180" s="251" t="s">
        <v>3187</v>
      </c>
      <c r="F180" s="249"/>
      <c r="G180" s="272"/>
      <c r="H180" s="272">
        <v>12335400</v>
      </c>
      <c r="I180" s="272">
        <f t="shared" si="9"/>
        <v>120349485.54999997</v>
      </c>
      <c r="J180" s="289" t="s">
        <v>3198</v>
      </c>
      <c r="N180" s="299"/>
    </row>
    <row r="181" spans="1:15" x14ac:dyDescent="0.25">
      <c r="A181" s="270">
        <v>6</v>
      </c>
      <c r="B181" s="271">
        <v>45174</v>
      </c>
      <c r="C181" s="255" t="s">
        <v>3182</v>
      </c>
      <c r="D181" s="251" t="s">
        <v>3653</v>
      </c>
      <c r="E181" s="251"/>
      <c r="F181" s="249"/>
      <c r="G181" s="272"/>
      <c r="H181" s="272">
        <v>14190600</v>
      </c>
      <c r="I181" s="272">
        <f t="shared" si="9"/>
        <v>134540085.54999995</v>
      </c>
      <c r="J181" s="289" t="s">
        <v>3669</v>
      </c>
      <c r="M181" s="299"/>
    </row>
    <row r="182" spans="1:15" x14ac:dyDescent="0.25">
      <c r="A182" s="270">
        <v>7</v>
      </c>
      <c r="B182" s="271">
        <v>45176</v>
      </c>
      <c r="C182" s="255" t="s">
        <v>3177</v>
      </c>
      <c r="D182" s="251" t="s">
        <v>6572</v>
      </c>
      <c r="E182" s="251" t="s">
        <v>6573</v>
      </c>
      <c r="F182" s="249"/>
      <c r="G182" s="272"/>
      <c r="H182" s="272">
        <v>4000000</v>
      </c>
      <c r="I182" s="272">
        <f t="shared" si="9"/>
        <v>138540085.54999995</v>
      </c>
      <c r="J182" s="538" t="s">
        <v>4122</v>
      </c>
    </row>
    <row r="183" spans="1:15" x14ac:dyDescent="0.25">
      <c r="A183" s="270">
        <v>8</v>
      </c>
      <c r="B183" s="271">
        <v>45180</v>
      </c>
      <c r="C183" s="255" t="s">
        <v>3180</v>
      </c>
      <c r="D183" s="251" t="s">
        <v>6574</v>
      </c>
      <c r="E183" s="251" t="s">
        <v>3192</v>
      </c>
      <c r="F183" s="249"/>
      <c r="G183" s="272"/>
      <c r="H183" s="272">
        <v>47000000</v>
      </c>
      <c r="I183" s="272">
        <f t="shared" si="9"/>
        <v>185540085.54999995</v>
      </c>
      <c r="J183" s="289"/>
      <c r="K183" s="297"/>
      <c r="L183" s="297"/>
      <c r="M183" s="300"/>
      <c r="N183" s="300"/>
    </row>
    <row r="184" spans="1:15" x14ac:dyDescent="0.25">
      <c r="A184" s="270">
        <v>9</v>
      </c>
      <c r="B184" s="271">
        <v>45181</v>
      </c>
      <c r="C184" s="255" t="s">
        <v>3177</v>
      </c>
      <c r="D184" s="251" t="s">
        <v>6575</v>
      </c>
      <c r="E184" s="252" t="s">
        <v>3196</v>
      </c>
      <c r="F184" s="249"/>
      <c r="G184" s="272"/>
      <c r="H184" s="272">
        <v>4924900</v>
      </c>
      <c r="I184" s="272">
        <f t="shared" si="9"/>
        <v>190464985.54999995</v>
      </c>
      <c r="J184" s="289" t="s">
        <v>3199</v>
      </c>
    </row>
    <row r="185" spans="1:15" x14ac:dyDescent="0.25">
      <c r="A185" s="270">
        <v>10</v>
      </c>
      <c r="B185" s="271"/>
      <c r="C185" s="255" t="s">
        <v>3177</v>
      </c>
      <c r="D185" s="251" t="s">
        <v>6576</v>
      </c>
      <c r="E185" s="251" t="s">
        <v>6300</v>
      </c>
      <c r="F185" s="249"/>
      <c r="G185" s="272"/>
      <c r="H185" s="272">
        <v>33553500</v>
      </c>
      <c r="I185" s="272">
        <f t="shared" si="9"/>
        <v>224018485.54999995</v>
      </c>
      <c r="J185" s="289" t="s">
        <v>5456</v>
      </c>
    </row>
    <row r="186" spans="1:15" x14ac:dyDescent="0.25">
      <c r="A186" s="270">
        <v>11</v>
      </c>
      <c r="B186" s="271">
        <v>45183</v>
      </c>
      <c r="C186" s="255" t="s">
        <v>3180</v>
      </c>
      <c r="D186" s="251" t="s">
        <v>6577</v>
      </c>
      <c r="E186" s="251" t="s">
        <v>3192</v>
      </c>
      <c r="F186" s="249"/>
      <c r="G186" s="272"/>
      <c r="H186" s="272">
        <v>47277000</v>
      </c>
      <c r="I186" s="272">
        <f t="shared" si="9"/>
        <v>271295485.54999995</v>
      </c>
      <c r="J186" s="289"/>
      <c r="K186" s="301"/>
    </row>
    <row r="187" spans="1:15" x14ac:dyDescent="0.25">
      <c r="A187" s="270">
        <v>12</v>
      </c>
      <c r="B187" s="271">
        <v>45187</v>
      </c>
      <c r="C187" s="255" t="s">
        <v>3648</v>
      </c>
      <c r="D187" s="251" t="s">
        <v>3649</v>
      </c>
      <c r="E187" s="251" t="s">
        <v>6578</v>
      </c>
      <c r="F187" s="249" t="s">
        <v>3651</v>
      </c>
      <c r="G187" s="272">
        <v>231905000</v>
      </c>
      <c r="H187" s="272"/>
      <c r="I187" s="272">
        <f t="shared" si="9"/>
        <v>39390485.549999952</v>
      </c>
      <c r="J187" s="289" t="s">
        <v>4788</v>
      </c>
      <c r="N187" s="291"/>
      <c r="O187" s="291"/>
    </row>
    <row r="188" spans="1:15" x14ac:dyDescent="0.25">
      <c r="A188" s="270">
        <v>13</v>
      </c>
      <c r="B188" s="271">
        <v>45157</v>
      </c>
      <c r="C188" s="255" t="s">
        <v>6579</v>
      </c>
      <c r="D188" s="251" t="s">
        <v>6580</v>
      </c>
      <c r="E188" s="251" t="s">
        <v>3187</v>
      </c>
      <c r="F188" s="249"/>
      <c r="G188" s="272"/>
      <c r="H188" s="272">
        <v>1285200</v>
      </c>
      <c r="I188" s="272">
        <f t="shared" si="9"/>
        <v>40675685.549999952</v>
      </c>
      <c r="J188" s="289" t="s">
        <v>3198</v>
      </c>
      <c r="K188" s="298"/>
      <c r="L188" s="298"/>
      <c r="M188" s="298"/>
      <c r="N188" s="291"/>
      <c r="O188" s="291"/>
    </row>
    <row r="189" spans="1:15" x14ac:dyDescent="0.25">
      <c r="A189" s="270">
        <v>14</v>
      </c>
      <c r="B189" s="271">
        <v>45190</v>
      </c>
      <c r="C189" s="255" t="s">
        <v>3648</v>
      </c>
      <c r="D189" s="251" t="s">
        <v>3649</v>
      </c>
      <c r="E189" s="251" t="s">
        <v>6581</v>
      </c>
      <c r="F189" s="249" t="s">
        <v>6582</v>
      </c>
      <c r="G189" s="272">
        <v>16675000</v>
      </c>
      <c r="H189" s="272"/>
      <c r="I189" s="272">
        <f t="shared" si="9"/>
        <v>24000685.549999952</v>
      </c>
      <c r="J189" s="289" t="s">
        <v>6585</v>
      </c>
      <c r="M189" s="299"/>
      <c r="N189" s="291"/>
      <c r="O189" s="291"/>
    </row>
    <row r="190" spans="1:15" x14ac:dyDescent="0.25">
      <c r="A190" s="270">
        <v>15</v>
      </c>
      <c r="B190" s="271">
        <v>45191</v>
      </c>
      <c r="C190" s="255" t="s">
        <v>3177</v>
      </c>
      <c r="D190" s="251" t="s">
        <v>6583</v>
      </c>
      <c r="E190" s="251" t="s">
        <v>6584</v>
      </c>
      <c r="F190" s="249"/>
      <c r="G190" s="272"/>
      <c r="H190" s="272">
        <v>100458950</v>
      </c>
      <c r="I190" s="272">
        <f t="shared" si="9"/>
        <v>124459635.54999995</v>
      </c>
      <c r="J190" s="289" t="s">
        <v>3239</v>
      </c>
      <c r="N190" s="291"/>
      <c r="O190" s="291"/>
    </row>
    <row r="191" spans="1:15" x14ac:dyDescent="0.25">
      <c r="A191" s="270">
        <v>16</v>
      </c>
      <c r="B191" s="271"/>
      <c r="C191" s="255" t="s">
        <v>4104</v>
      </c>
      <c r="D191" s="251" t="s">
        <v>4105</v>
      </c>
      <c r="E191" s="251"/>
      <c r="F191" s="249"/>
      <c r="G191" s="272"/>
      <c r="H191" s="272">
        <v>2314900</v>
      </c>
      <c r="I191" s="272">
        <f t="shared" si="9"/>
        <v>126774535.54999995</v>
      </c>
      <c r="J191" s="289"/>
      <c r="K191" s="298"/>
      <c r="L191" s="298"/>
      <c r="M191" s="298"/>
      <c r="N191" s="291"/>
      <c r="O191" s="291"/>
    </row>
    <row r="192" spans="1:15" ht="13.5" thickBot="1" x14ac:dyDescent="0.3">
      <c r="A192" s="273"/>
      <c r="B192" s="276" t="s">
        <v>38</v>
      </c>
      <c r="C192" s="279"/>
      <c r="D192" s="277"/>
      <c r="E192" s="277"/>
      <c r="F192" s="278"/>
      <c r="G192" s="274">
        <f>SUM(G176:G191)</f>
        <v>248678362.91</v>
      </c>
      <c r="H192" s="274">
        <f>SUM(H176:H191)</f>
        <v>267582264.55000001</v>
      </c>
      <c r="I192" s="274">
        <f>I191</f>
        <v>126774535.54999995</v>
      </c>
      <c r="J192" s="533"/>
      <c r="N192" s="291"/>
      <c r="O192" s="291"/>
    </row>
    <row r="193" spans="1:15" x14ac:dyDescent="0.25">
      <c r="A193" s="304" t="s">
        <v>107</v>
      </c>
      <c r="B193" s="268"/>
      <c r="C193" s="893" t="s">
        <v>7064</v>
      </c>
      <c r="D193" s="894"/>
      <c r="E193" s="894"/>
      <c r="F193" s="895"/>
      <c r="G193" s="269"/>
      <c r="H193" s="269"/>
      <c r="I193" s="269">
        <f>I192-G193+H193</f>
        <v>126774535.54999995</v>
      </c>
      <c r="J193" s="532"/>
    </row>
    <row r="194" spans="1:15" x14ac:dyDescent="0.25">
      <c r="A194" s="270">
        <v>1</v>
      </c>
      <c r="B194" s="271"/>
      <c r="C194" s="255" t="s">
        <v>300</v>
      </c>
      <c r="D194" s="251"/>
      <c r="E194" s="251"/>
      <c r="F194" s="249"/>
      <c r="G194" s="272"/>
      <c r="H194" s="272"/>
      <c r="I194" s="272">
        <f>I193-G194+H194</f>
        <v>126774535.54999995</v>
      </c>
      <c r="J194" s="289"/>
      <c r="K194" s="297"/>
    </row>
    <row r="195" spans="1:15" x14ac:dyDescent="0.25">
      <c r="A195" s="270">
        <v>2</v>
      </c>
      <c r="B195" s="271">
        <v>45200</v>
      </c>
      <c r="C195" s="255" t="s">
        <v>3171</v>
      </c>
      <c r="D195" s="250" t="s">
        <v>3172</v>
      </c>
      <c r="E195" s="251"/>
      <c r="F195" s="249"/>
      <c r="G195" s="272"/>
      <c r="H195" s="272">
        <v>145986.03</v>
      </c>
      <c r="I195" s="272">
        <f t="shared" ref="I195:I210" si="10">I194-G195+H195</f>
        <v>126920521.57999995</v>
      </c>
      <c r="J195" s="289"/>
    </row>
    <row r="196" spans="1:15" x14ac:dyDescent="0.25">
      <c r="A196" s="270">
        <v>3</v>
      </c>
      <c r="B196" s="271"/>
      <c r="C196" s="255" t="s">
        <v>3173</v>
      </c>
      <c r="D196" s="250" t="s">
        <v>3174</v>
      </c>
      <c r="E196" s="251"/>
      <c r="F196" s="249"/>
      <c r="G196" s="272">
        <v>29197.200000000001</v>
      </c>
      <c r="H196" s="272"/>
      <c r="I196" s="272">
        <f t="shared" si="10"/>
        <v>126891324.37999995</v>
      </c>
      <c r="J196" s="289"/>
      <c r="M196" s="298"/>
      <c r="N196" s="298"/>
    </row>
    <row r="197" spans="1:15" x14ac:dyDescent="0.25">
      <c r="A197" s="270">
        <v>4</v>
      </c>
      <c r="B197" s="271"/>
      <c r="C197" s="281" t="s">
        <v>3175</v>
      </c>
      <c r="D197" s="282" t="s">
        <v>3176</v>
      </c>
      <c r="E197" s="251"/>
      <c r="F197" s="249"/>
      <c r="G197" s="272">
        <v>50000</v>
      </c>
      <c r="H197" s="272"/>
      <c r="I197" s="272">
        <f t="shared" si="10"/>
        <v>126841324.37999995</v>
      </c>
      <c r="J197" s="289"/>
      <c r="N197" s="299"/>
    </row>
    <row r="198" spans="1:15" x14ac:dyDescent="0.25">
      <c r="A198" s="270">
        <v>5</v>
      </c>
      <c r="B198" s="271">
        <v>45201</v>
      </c>
      <c r="C198" s="255" t="s">
        <v>3188</v>
      </c>
      <c r="D198" s="251" t="s">
        <v>7065</v>
      </c>
      <c r="E198" s="251" t="s">
        <v>3190</v>
      </c>
      <c r="F198" s="249"/>
      <c r="G198" s="272"/>
      <c r="H198" s="272">
        <v>5760624</v>
      </c>
      <c r="I198" s="272">
        <f t="shared" si="10"/>
        <v>132601948.37999995</v>
      </c>
      <c r="J198" s="289" t="s">
        <v>4135</v>
      </c>
      <c r="N198" s="299"/>
    </row>
    <row r="199" spans="1:15" x14ac:dyDescent="0.25">
      <c r="A199" s="270">
        <v>6</v>
      </c>
      <c r="B199" s="271">
        <v>45204</v>
      </c>
      <c r="C199" s="255" t="s">
        <v>4104</v>
      </c>
      <c r="D199" s="251" t="s">
        <v>4105</v>
      </c>
      <c r="E199" s="251"/>
      <c r="F199" s="249"/>
      <c r="G199" s="272"/>
      <c r="H199" s="272">
        <v>75000000</v>
      </c>
      <c r="I199" s="272">
        <f t="shared" si="10"/>
        <v>207601948.37999994</v>
      </c>
      <c r="J199" s="289" t="s">
        <v>7071</v>
      </c>
      <c r="M199" s="299"/>
    </row>
    <row r="200" spans="1:15" x14ac:dyDescent="0.25">
      <c r="A200" s="270">
        <v>7</v>
      </c>
      <c r="B200" s="271"/>
      <c r="C200" s="255" t="s">
        <v>3648</v>
      </c>
      <c r="D200" s="252" t="s">
        <v>6297</v>
      </c>
      <c r="E200" s="251" t="s">
        <v>7066</v>
      </c>
      <c r="F200" s="249" t="s">
        <v>3651</v>
      </c>
      <c r="G200" s="272">
        <v>200511000</v>
      </c>
      <c r="H200" s="272"/>
      <c r="I200" s="272">
        <f t="shared" si="10"/>
        <v>7090948.3799999356</v>
      </c>
      <c r="J200" s="289" t="s">
        <v>4134</v>
      </c>
    </row>
    <row r="201" spans="1:15" x14ac:dyDescent="0.25">
      <c r="A201" s="270">
        <v>8</v>
      </c>
      <c r="B201" s="271"/>
      <c r="C201" s="255" t="s">
        <v>4104</v>
      </c>
      <c r="D201" s="251" t="s">
        <v>4105</v>
      </c>
      <c r="E201" s="251"/>
      <c r="F201" s="249"/>
      <c r="G201" s="272"/>
      <c r="H201" s="272">
        <v>807840</v>
      </c>
      <c r="I201" s="272">
        <f t="shared" si="10"/>
        <v>7898788.3799999356</v>
      </c>
      <c r="J201" s="289" t="s">
        <v>7071</v>
      </c>
      <c r="K201" s="297"/>
      <c r="L201" s="297"/>
      <c r="M201" s="300"/>
      <c r="N201" s="300"/>
    </row>
    <row r="202" spans="1:15" x14ac:dyDescent="0.25">
      <c r="A202" s="270">
        <v>9</v>
      </c>
      <c r="B202" s="271">
        <v>45205</v>
      </c>
      <c r="C202" s="255" t="s">
        <v>4104</v>
      </c>
      <c r="D202" s="251" t="s">
        <v>4105</v>
      </c>
      <c r="E202" s="252"/>
      <c r="F202" s="249"/>
      <c r="G202" s="272"/>
      <c r="H202" s="272">
        <v>1072200</v>
      </c>
      <c r="I202" s="272">
        <f t="shared" si="10"/>
        <v>8970988.3799999356</v>
      </c>
      <c r="J202" s="289" t="s">
        <v>7071</v>
      </c>
    </row>
    <row r="203" spans="1:15" x14ac:dyDescent="0.25">
      <c r="A203" s="270">
        <v>10</v>
      </c>
      <c r="B203" s="271">
        <v>45209</v>
      </c>
      <c r="C203" s="255" t="s">
        <v>3177</v>
      </c>
      <c r="D203" s="251" t="s">
        <v>7067</v>
      </c>
      <c r="E203" s="251" t="s">
        <v>7068</v>
      </c>
      <c r="F203" s="249" t="s">
        <v>3184</v>
      </c>
      <c r="G203" s="272"/>
      <c r="H203" s="272">
        <v>570000</v>
      </c>
      <c r="I203" s="272">
        <f t="shared" si="10"/>
        <v>9540988.3799999356</v>
      </c>
      <c r="J203" s="289" t="s">
        <v>3197</v>
      </c>
    </row>
    <row r="204" spans="1:15" x14ac:dyDescent="0.25">
      <c r="A204" s="270">
        <v>11</v>
      </c>
      <c r="B204" s="271">
        <v>45210</v>
      </c>
      <c r="C204" s="255" t="s">
        <v>3177</v>
      </c>
      <c r="D204" s="251" t="s">
        <v>7069</v>
      </c>
      <c r="E204" s="251" t="s">
        <v>3196</v>
      </c>
      <c r="F204" s="249"/>
      <c r="G204" s="272"/>
      <c r="H204" s="272">
        <v>1686900</v>
      </c>
      <c r="I204" s="272">
        <f t="shared" si="10"/>
        <v>11227888.379999936</v>
      </c>
      <c r="J204" s="289" t="s">
        <v>3199</v>
      </c>
      <c r="K204" s="301"/>
    </row>
    <row r="205" spans="1:15" x14ac:dyDescent="0.25">
      <c r="A205" s="270">
        <v>12</v>
      </c>
      <c r="B205" s="271">
        <v>45211</v>
      </c>
      <c r="C205" s="255" t="s">
        <v>3188</v>
      </c>
      <c r="D205" s="251" t="s">
        <v>7070</v>
      </c>
      <c r="E205" s="251" t="s">
        <v>3190</v>
      </c>
      <c r="F205" s="249"/>
      <c r="G205" s="272"/>
      <c r="H205" s="272">
        <v>3180150</v>
      </c>
      <c r="I205" s="272">
        <f t="shared" si="10"/>
        <v>14408038.379999936</v>
      </c>
      <c r="J205" s="289" t="s">
        <v>4135</v>
      </c>
      <c r="N205" s="291"/>
      <c r="O205" s="291"/>
    </row>
    <row r="206" spans="1:15" x14ac:dyDescent="0.25">
      <c r="A206" s="270">
        <v>13</v>
      </c>
      <c r="B206" s="271"/>
      <c r="C206" s="255" t="s">
        <v>3177</v>
      </c>
      <c r="D206" s="251" t="s">
        <v>7072</v>
      </c>
      <c r="E206" s="251" t="s">
        <v>7073</v>
      </c>
      <c r="F206" s="249" t="s">
        <v>3184</v>
      </c>
      <c r="G206" s="272"/>
      <c r="H206" s="272">
        <v>787500</v>
      </c>
      <c r="I206" s="272">
        <f t="shared" si="10"/>
        <v>15195538.379999936</v>
      </c>
      <c r="J206" s="289" t="s">
        <v>3197</v>
      </c>
      <c r="K206" s="298"/>
      <c r="L206" s="298"/>
      <c r="M206" s="298"/>
      <c r="N206" s="291"/>
      <c r="O206" s="291"/>
    </row>
    <row r="207" spans="1:15" x14ac:dyDescent="0.25">
      <c r="A207" s="270">
        <v>14</v>
      </c>
      <c r="B207" s="271">
        <v>45216</v>
      </c>
      <c r="C207" s="255" t="s">
        <v>3177</v>
      </c>
      <c r="D207" s="251" t="s">
        <v>7074</v>
      </c>
      <c r="E207" s="252" t="s">
        <v>7075</v>
      </c>
      <c r="F207" s="249"/>
      <c r="G207" s="272"/>
      <c r="H207" s="272">
        <v>9072000</v>
      </c>
      <c r="I207" s="272">
        <f t="shared" si="10"/>
        <v>24267538.379999936</v>
      </c>
      <c r="J207" s="289" t="s">
        <v>5456</v>
      </c>
      <c r="M207" s="299"/>
      <c r="N207" s="291"/>
      <c r="O207" s="291"/>
    </row>
    <row r="208" spans="1:15" x14ac:dyDescent="0.25">
      <c r="A208" s="270">
        <v>15</v>
      </c>
      <c r="B208" s="271">
        <v>45223</v>
      </c>
      <c r="C208" s="255" t="s">
        <v>3177</v>
      </c>
      <c r="D208" s="251" t="s">
        <v>7076</v>
      </c>
      <c r="E208" s="251" t="s">
        <v>6584</v>
      </c>
      <c r="F208" s="249"/>
      <c r="G208" s="272"/>
      <c r="H208" s="272">
        <v>110427100</v>
      </c>
      <c r="I208" s="272">
        <f t="shared" si="10"/>
        <v>134694638.37999994</v>
      </c>
      <c r="J208" s="289" t="s">
        <v>3239</v>
      </c>
      <c r="N208" s="291"/>
      <c r="O208" s="291"/>
    </row>
    <row r="209" spans="1:15" x14ac:dyDescent="0.25">
      <c r="A209" s="270">
        <v>16</v>
      </c>
      <c r="B209" s="271">
        <v>45225</v>
      </c>
      <c r="C209" s="255" t="s">
        <v>3177</v>
      </c>
      <c r="D209" s="251" t="s">
        <v>7077</v>
      </c>
      <c r="E209" s="251" t="s">
        <v>7078</v>
      </c>
      <c r="F209" s="249" t="s">
        <v>3184</v>
      </c>
      <c r="G209" s="272"/>
      <c r="H209" s="272">
        <v>1484500</v>
      </c>
      <c r="I209" s="272">
        <f t="shared" si="10"/>
        <v>136179138.37999994</v>
      </c>
      <c r="J209" s="289" t="s">
        <v>3197</v>
      </c>
      <c r="K209" s="298"/>
      <c r="L209" s="298"/>
      <c r="M209" s="298"/>
      <c r="N209" s="291"/>
      <c r="O209" s="291"/>
    </row>
    <row r="210" spans="1:15" x14ac:dyDescent="0.25">
      <c r="A210" s="270">
        <v>17</v>
      </c>
      <c r="B210" s="271">
        <v>45229</v>
      </c>
      <c r="C210" s="255" t="s">
        <v>3177</v>
      </c>
      <c r="D210" s="251" t="s">
        <v>7079</v>
      </c>
      <c r="E210" s="251" t="s">
        <v>3196</v>
      </c>
      <c r="F210" s="249"/>
      <c r="G210" s="272"/>
      <c r="H210" s="272">
        <v>1721600</v>
      </c>
      <c r="I210" s="272">
        <f t="shared" si="10"/>
        <v>137900738.37999994</v>
      </c>
      <c r="J210" s="289" t="s">
        <v>3199</v>
      </c>
      <c r="M210" s="299"/>
      <c r="N210" s="291"/>
      <c r="O210" s="291"/>
    </row>
    <row r="211" spans="1:15" ht="13.5" thickBot="1" x14ac:dyDescent="0.3">
      <c r="A211" s="273"/>
      <c r="B211" s="276" t="s">
        <v>38</v>
      </c>
      <c r="C211" s="279"/>
      <c r="D211" s="277"/>
      <c r="E211" s="277"/>
      <c r="F211" s="278"/>
      <c r="G211" s="274">
        <f>SUM(G194:G210)</f>
        <v>200590197.19999999</v>
      </c>
      <c r="H211" s="274">
        <f>SUM(H194:H210)</f>
        <v>211716400.03</v>
      </c>
      <c r="I211" s="274">
        <f>I210</f>
        <v>137900738.37999994</v>
      </c>
      <c r="J211" s="533"/>
      <c r="N211" s="291"/>
      <c r="O211" s="291"/>
    </row>
    <row r="212" spans="1:15" x14ac:dyDescent="0.25">
      <c r="A212" s="304" t="s">
        <v>108</v>
      </c>
      <c r="B212" s="268"/>
      <c r="C212" s="893" t="s">
        <v>7233</v>
      </c>
      <c r="D212" s="894"/>
      <c r="E212" s="894"/>
      <c r="F212" s="895"/>
      <c r="G212" s="269"/>
      <c r="H212" s="269"/>
      <c r="I212" s="269">
        <f>I211-G212+H212</f>
        <v>137900738.37999994</v>
      </c>
      <c r="J212" s="532"/>
    </row>
    <row r="213" spans="1:15" x14ac:dyDescent="0.25">
      <c r="A213" s="270">
        <v>1</v>
      </c>
      <c r="B213" s="271"/>
      <c r="C213" s="255" t="s">
        <v>300</v>
      </c>
      <c r="D213" s="251"/>
      <c r="E213" s="251"/>
      <c r="F213" s="249"/>
      <c r="G213" s="272"/>
      <c r="H213" s="272"/>
      <c r="I213" s="272">
        <f>I212-G213+H213</f>
        <v>137900738.37999994</v>
      </c>
      <c r="J213" s="289"/>
      <c r="K213" s="297"/>
    </row>
    <row r="214" spans="1:15" x14ac:dyDescent="0.25">
      <c r="A214" s="270">
        <v>2</v>
      </c>
      <c r="B214" s="271">
        <v>45231</v>
      </c>
      <c r="C214" s="255" t="s">
        <v>3180</v>
      </c>
      <c r="D214" s="813" t="s">
        <v>7234</v>
      </c>
      <c r="E214" s="250" t="s">
        <v>3192</v>
      </c>
      <c r="F214" s="249"/>
      <c r="G214" s="275"/>
      <c r="H214" s="275">
        <v>35024000</v>
      </c>
      <c r="I214" s="272">
        <f>I213-G214+H214</f>
        <v>172924738.37999994</v>
      </c>
      <c r="J214" s="289"/>
    </row>
    <row r="215" spans="1:15" x14ac:dyDescent="0.25">
      <c r="A215" s="270">
        <v>3</v>
      </c>
      <c r="B215" s="271"/>
      <c r="C215" s="255" t="s">
        <v>3171</v>
      </c>
      <c r="D215" s="250" t="s">
        <v>3172</v>
      </c>
      <c r="E215" s="251"/>
      <c r="F215" s="249"/>
      <c r="G215" s="275"/>
      <c r="H215" s="275">
        <v>62521.46</v>
      </c>
      <c r="I215" s="272">
        <f t="shared" ref="I215:I234" si="11">I214-G215+H215</f>
        <v>172987259.83999994</v>
      </c>
      <c r="J215" s="289"/>
      <c r="M215" s="298"/>
      <c r="N215" s="298"/>
    </row>
    <row r="216" spans="1:15" x14ac:dyDescent="0.25">
      <c r="A216" s="270">
        <v>4</v>
      </c>
      <c r="B216" s="280"/>
      <c r="C216" s="255" t="s">
        <v>3173</v>
      </c>
      <c r="D216" s="250" t="s">
        <v>3174</v>
      </c>
      <c r="E216" s="251"/>
      <c r="F216" s="249"/>
      <c r="G216" s="283">
        <v>12504.29</v>
      </c>
      <c r="H216" s="283"/>
      <c r="I216" s="272">
        <f t="shared" si="11"/>
        <v>172974755.54999995</v>
      </c>
      <c r="J216" s="289"/>
      <c r="N216" s="299"/>
    </row>
    <row r="217" spans="1:15" x14ac:dyDescent="0.25">
      <c r="A217" s="270">
        <v>5</v>
      </c>
      <c r="B217" s="271"/>
      <c r="C217" s="281" t="s">
        <v>3175</v>
      </c>
      <c r="D217" s="282" t="s">
        <v>3176</v>
      </c>
      <c r="E217" s="251"/>
      <c r="F217" s="249"/>
      <c r="G217" s="272">
        <v>50000</v>
      </c>
      <c r="H217" s="272"/>
      <c r="I217" s="272">
        <f t="shared" si="11"/>
        <v>172924755.54999995</v>
      </c>
      <c r="J217" s="289"/>
      <c r="N217" s="299"/>
    </row>
    <row r="218" spans="1:15" x14ac:dyDescent="0.25">
      <c r="A218" s="270">
        <v>6</v>
      </c>
      <c r="B218" s="271">
        <v>45232</v>
      </c>
      <c r="C218" s="255" t="s">
        <v>3177</v>
      </c>
      <c r="D218" s="251" t="s">
        <v>7235</v>
      </c>
      <c r="E218" s="251" t="s">
        <v>7236</v>
      </c>
      <c r="F218" s="249"/>
      <c r="G218" s="272"/>
      <c r="H218" s="272">
        <v>3157000</v>
      </c>
      <c r="I218" s="272">
        <f t="shared" si="11"/>
        <v>176081755.54999995</v>
      </c>
      <c r="J218" s="538" t="s">
        <v>4122</v>
      </c>
      <c r="M218" s="299"/>
    </row>
    <row r="219" spans="1:15" x14ac:dyDescent="0.25">
      <c r="A219" s="270">
        <v>7</v>
      </c>
      <c r="B219" s="271">
        <v>45236</v>
      </c>
      <c r="C219" s="255" t="s">
        <v>3188</v>
      </c>
      <c r="D219" s="251" t="s">
        <v>7237</v>
      </c>
      <c r="E219" s="251" t="s">
        <v>3190</v>
      </c>
      <c r="F219" s="249"/>
      <c r="G219" s="272"/>
      <c r="H219" s="272">
        <v>3372150</v>
      </c>
      <c r="I219" s="272">
        <f t="shared" si="11"/>
        <v>179453905.54999995</v>
      </c>
      <c r="J219" s="289"/>
    </row>
    <row r="220" spans="1:15" x14ac:dyDescent="0.25">
      <c r="A220" s="270">
        <v>8</v>
      </c>
      <c r="B220" s="271"/>
      <c r="C220" s="255" t="s">
        <v>3180</v>
      </c>
      <c r="D220" s="251" t="s">
        <v>7238</v>
      </c>
      <c r="E220" s="251" t="s">
        <v>3192</v>
      </c>
      <c r="F220" s="249"/>
      <c r="G220" s="272"/>
      <c r="H220" s="272">
        <v>36000000</v>
      </c>
      <c r="I220" s="272">
        <f t="shared" si="11"/>
        <v>215453905.54999995</v>
      </c>
      <c r="J220" s="289"/>
      <c r="K220" s="297"/>
      <c r="L220" s="297"/>
      <c r="M220" s="300"/>
      <c r="N220" s="300"/>
    </row>
    <row r="221" spans="1:15" x14ac:dyDescent="0.25">
      <c r="A221" s="270">
        <v>9</v>
      </c>
      <c r="B221" s="271">
        <v>45237</v>
      </c>
      <c r="C221" s="255" t="s">
        <v>3180</v>
      </c>
      <c r="D221" s="251" t="s">
        <v>7239</v>
      </c>
      <c r="E221" s="252" t="s">
        <v>3192</v>
      </c>
      <c r="F221" s="249"/>
      <c r="G221" s="272"/>
      <c r="H221" s="272">
        <v>32981000</v>
      </c>
      <c r="I221" s="272">
        <f t="shared" si="11"/>
        <v>248434905.54999995</v>
      </c>
      <c r="J221" s="289"/>
    </row>
    <row r="222" spans="1:15" x14ac:dyDescent="0.25">
      <c r="A222" s="270">
        <v>10</v>
      </c>
      <c r="B222" s="271">
        <v>45239</v>
      </c>
      <c r="C222" s="255" t="s">
        <v>3182</v>
      </c>
      <c r="D222" s="251" t="s">
        <v>3666</v>
      </c>
      <c r="E222" s="251"/>
      <c r="F222" s="249"/>
      <c r="G222" s="272"/>
      <c r="H222" s="272">
        <v>2230866</v>
      </c>
      <c r="I222" s="272">
        <f t="shared" si="11"/>
        <v>250665771.54999995</v>
      </c>
      <c r="J222" s="289" t="s">
        <v>3671</v>
      </c>
    </row>
    <row r="223" spans="1:15" x14ac:dyDescent="0.25">
      <c r="A223" s="270">
        <v>11</v>
      </c>
      <c r="B223" s="271"/>
      <c r="C223" s="255" t="s">
        <v>3177</v>
      </c>
      <c r="D223" s="251" t="s">
        <v>7240</v>
      </c>
      <c r="E223" s="251" t="s">
        <v>4108</v>
      </c>
      <c r="F223" s="249"/>
      <c r="G223" s="272"/>
      <c r="H223" s="272">
        <v>36797250</v>
      </c>
      <c r="I223" s="272">
        <f t="shared" si="11"/>
        <v>287463021.54999995</v>
      </c>
      <c r="J223" s="289" t="s">
        <v>5456</v>
      </c>
      <c r="K223" s="301"/>
    </row>
    <row r="224" spans="1:15" x14ac:dyDescent="0.25">
      <c r="A224" s="270">
        <v>12</v>
      </c>
      <c r="B224" s="271">
        <v>45243</v>
      </c>
      <c r="C224" s="255" t="s">
        <v>3180</v>
      </c>
      <c r="D224" s="251" t="s">
        <v>7241</v>
      </c>
      <c r="E224" s="251" t="s">
        <v>3192</v>
      </c>
      <c r="F224" s="249"/>
      <c r="G224" s="272"/>
      <c r="H224" s="272">
        <v>33000000</v>
      </c>
      <c r="I224" s="272">
        <f t="shared" si="11"/>
        <v>320463021.54999995</v>
      </c>
      <c r="J224" s="289"/>
      <c r="N224" s="291"/>
      <c r="O224" s="291"/>
    </row>
    <row r="225" spans="1:15" x14ac:dyDescent="0.25">
      <c r="A225" s="270">
        <v>13</v>
      </c>
      <c r="B225" s="271">
        <v>45244</v>
      </c>
      <c r="C225" s="255" t="s">
        <v>3188</v>
      </c>
      <c r="D225" s="251" t="s">
        <v>7242</v>
      </c>
      <c r="E225" s="251" t="s">
        <v>3190</v>
      </c>
      <c r="F225" s="249"/>
      <c r="G225" s="272"/>
      <c r="H225" s="272">
        <v>3508800</v>
      </c>
      <c r="I225" s="272">
        <f t="shared" si="11"/>
        <v>323971821.54999995</v>
      </c>
      <c r="J225" s="289"/>
      <c r="K225" s="298"/>
      <c r="L225" s="298"/>
      <c r="M225" s="298"/>
      <c r="N225" s="291"/>
      <c r="O225" s="291"/>
    </row>
    <row r="226" spans="1:15" x14ac:dyDescent="0.25">
      <c r="A226" s="270">
        <v>14</v>
      </c>
      <c r="B226" s="271">
        <v>45245</v>
      </c>
      <c r="C226" s="255" t="s">
        <v>3182</v>
      </c>
      <c r="D226" s="251" t="s">
        <v>3653</v>
      </c>
      <c r="E226" s="252"/>
      <c r="F226" s="249"/>
      <c r="G226" s="272"/>
      <c r="H226" s="272">
        <v>3439500</v>
      </c>
      <c r="I226" s="272">
        <f t="shared" si="11"/>
        <v>327411321.54999995</v>
      </c>
      <c r="J226" s="289" t="s">
        <v>3669</v>
      </c>
      <c r="M226" s="299"/>
      <c r="N226" s="291"/>
      <c r="O226" s="291"/>
    </row>
    <row r="227" spans="1:15" x14ac:dyDescent="0.25">
      <c r="A227" s="270">
        <v>15</v>
      </c>
      <c r="B227" s="271">
        <v>45247</v>
      </c>
      <c r="C227" s="255" t="s">
        <v>4104</v>
      </c>
      <c r="D227" s="251" t="s">
        <v>4105</v>
      </c>
      <c r="E227" s="251"/>
      <c r="F227" s="249"/>
      <c r="G227" s="272"/>
      <c r="H227" s="272">
        <v>25000000</v>
      </c>
      <c r="I227" s="272">
        <f t="shared" si="11"/>
        <v>352411321.54999995</v>
      </c>
      <c r="J227" s="289"/>
      <c r="N227" s="291"/>
      <c r="O227" s="291"/>
    </row>
    <row r="228" spans="1:15" x14ac:dyDescent="0.25">
      <c r="A228" s="270">
        <v>16</v>
      </c>
      <c r="B228" s="271"/>
      <c r="C228" s="255" t="s">
        <v>3648</v>
      </c>
      <c r="D228" s="251" t="s">
        <v>3649</v>
      </c>
      <c r="E228" s="251" t="s">
        <v>7243</v>
      </c>
      <c r="F228" s="249" t="s">
        <v>3651</v>
      </c>
      <c r="G228" s="272">
        <v>345390000</v>
      </c>
      <c r="H228" s="272"/>
      <c r="I228" s="272">
        <f t="shared" si="11"/>
        <v>7021321.5499999523</v>
      </c>
      <c r="J228" s="289" t="s">
        <v>4134</v>
      </c>
      <c r="K228" s="298"/>
      <c r="L228" s="298"/>
      <c r="M228" s="298"/>
      <c r="N228" s="291"/>
      <c r="O228" s="291"/>
    </row>
    <row r="229" spans="1:15" x14ac:dyDescent="0.25">
      <c r="A229" s="270">
        <v>17</v>
      </c>
      <c r="B229" s="271">
        <v>45251</v>
      </c>
      <c r="C229" s="255" t="s">
        <v>4104</v>
      </c>
      <c r="D229" s="251" t="s">
        <v>4105</v>
      </c>
      <c r="E229" s="251"/>
      <c r="F229" s="249"/>
      <c r="G229" s="272"/>
      <c r="H229" s="272">
        <v>2852500</v>
      </c>
      <c r="I229" s="272">
        <f t="shared" si="11"/>
        <v>9873821.5499999523</v>
      </c>
      <c r="J229" s="289"/>
      <c r="M229" s="299"/>
      <c r="N229" s="291"/>
      <c r="O229" s="291"/>
    </row>
    <row r="230" spans="1:15" x14ac:dyDescent="0.25">
      <c r="A230" s="270">
        <v>18</v>
      </c>
      <c r="B230" s="271">
        <v>45252</v>
      </c>
      <c r="C230" s="255" t="s">
        <v>3182</v>
      </c>
      <c r="D230" s="251" t="s">
        <v>2019</v>
      </c>
      <c r="E230" s="251"/>
      <c r="F230" s="249" t="s">
        <v>7247</v>
      </c>
      <c r="G230" s="272"/>
      <c r="H230" s="272">
        <v>8208000</v>
      </c>
      <c r="I230" s="272">
        <f t="shared" si="11"/>
        <v>18081821.549999952</v>
      </c>
      <c r="J230" s="289" t="s">
        <v>7248</v>
      </c>
      <c r="N230" s="291"/>
      <c r="O230" s="291"/>
    </row>
    <row r="231" spans="1:15" x14ac:dyDescent="0.25">
      <c r="A231" s="270">
        <v>19</v>
      </c>
      <c r="B231" s="271">
        <v>45253</v>
      </c>
      <c r="C231" s="255" t="s">
        <v>3182</v>
      </c>
      <c r="D231" s="251" t="s">
        <v>3666</v>
      </c>
      <c r="E231" s="251"/>
      <c r="F231" s="249"/>
      <c r="G231" s="272"/>
      <c r="H231" s="272">
        <v>2879725</v>
      </c>
      <c r="I231" s="272">
        <f t="shared" si="11"/>
        <v>20961546.549999952</v>
      </c>
      <c r="J231" s="289" t="s">
        <v>3671</v>
      </c>
      <c r="M231" s="299"/>
      <c r="N231" s="291"/>
      <c r="O231" s="291"/>
    </row>
    <row r="232" spans="1:15" x14ac:dyDescent="0.25">
      <c r="A232" s="270">
        <v>20</v>
      </c>
      <c r="B232" s="271">
        <v>45257</v>
      </c>
      <c r="C232" s="255" t="s">
        <v>3177</v>
      </c>
      <c r="D232" s="251" t="s">
        <v>7244</v>
      </c>
      <c r="E232" s="251" t="s">
        <v>3187</v>
      </c>
      <c r="F232" s="249"/>
      <c r="G232" s="272"/>
      <c r="H232" s="272">
        <v>2995650</v>
      </c>
      <c r="I232" s="272">
        <f t="shared" si="11"/>
        <v>23957196.549999952</v>
      </c>
      <c r="J232" s="289" t="s">
        <v>3198</v>
      </c>
      <c r="M232" s="299"/>
      <c r="N232" s="291"/>
      <c r="O232" s="291"/>
    </row>
    <row r="233" spans="1:15" x14ac:dyDescent="0.25">
      <c r="A233" s="270">
        <v>21</v>
      </c>
      <c r="B233" s="271">
        <v>45258</v>
      </c>
      <c r="C233" s="255" t="s">
        <v>3177</v>
      </c>
      <c r="D233" s="251" t="s">
        <v>7245</v>
      </c>
      <c r="E233" s="252" t="s">
        <v>6584</v>
      </c>
      <c r="F233" s="249"/>
      <c r="G233" s="272"/>
      <c r="H233" s="272">
        <v>62473950</v>
      </c>
      <c r="I233" s="272">
        <f t="shared" si="11"/>
        <v>86431146.549999952</v>
      </c>
      <c r="J233" s="289" t="s">
        <v>3239</v>
      </c>
      <c r="N233" s="291"/>
      <c r="O233" s="291"/>
    </row>
    <row r="234" spans="1:15" x14ac:dyDescent="0.25">
      <c r="A234" s="270">
        <v>22</v>
      </c>
      <c r="B234" s="271">
        <v>45259</v>
      </c>
      <c r="C234" s="255" t="s">
        <v>3177</v>
      </c>
      <c r="D234" s="251" t="s">
        <v>7246</v>
      </c>
      <c r="E234" s="251" t="s">
        <v>3196</v>
      </c>
      <c r="F234" s="249"/>
      <c r="G234" s="272"/>
      <c r="H234" s="272">
        <v>1866700</v>
      </c>
      <c r="I234" s="272">
        <f t="shared" si="11"/>
        <v>88297846.549999952</v>
      </c>
      <c r="J234" s="289" t="s">
        <v>3199</v>
      </c>
      <c r="N234" s="291"/>
      <c r="O234" s="291"/>
    </row>
    <row r="235" spans="1:15" ht="13.5" thickBot="1" x14ac:dyDescent="0.3">
      <c r="A235" s="273"/>
      <c r="B235" s="276" t="s">
        <v>38</v>
      </c>
      <c r="C235" s="279"/>
      <c r="D235" s="277"/>
      <c r="E235" s="277"/>
      <c r="F235" s="278"/>
      <c r="G235" s="274">
        <f>SUM(G213:G234)</f>
        <v>345452504.29000002</v>
      </c>
      <c r="H235" s="274">
        <f>SUM(H213:H234)</f>
        <v>295849612.46000004</v>
      </c>
      <c r="I235" s="274">
        <f>I234</f>
        <v>88297846.549999952</v>
      </c>
      <c r="J235" s="533"/>
      <c r="N235" s="291"/>
      <c r="O235" s="291"/>
    </row>
    <row r="236" spans="1:15" x14ac:dyDescent="0.25">
      <c r="A236" s="304" t="s">
        <v>109</v>
      </c>
      <c r="B236" s="268"/>
      <c r="C236" s="893"/>
      <c r="D236" s="894"/>
      <c r="E236" s="894"/>
      <c r="F236" s="895"/>
      <c r="G236" s="269"/>
      <c r="H236" s="269"/>
      <c r="I236" s="269">
        <f>I235-G236+H236</f>
        <v>88297846.549999952</v>
      </c>
      <c r="J236" s="532"/>
    </row>
    <row r="237" spans="1:15" x14ac:dyDescent="0.25">
      <c r="A237" s="270">
        <v>1</v>
      </c>
      <c r="B237" s="271"/>
      <c r="C237" s="255" t="s">
        <v>300</v>
      </c>
      <c r="D237" s="251"/>
      <c r="E237" s="251"/>
      <c r="F237" s="249"/>
      <c r="G237" s="272"/>
      <c r="H237" s="272"/>
      <c r="I237" s="272">
        <f>I236-G237+H237</f>
        <v>88297846.549999952</v>
      </c>
      <c r="J237" s="289"/>
      <c r="K237" s="297"/>
    </row>
    <row r="238" spans="1:15" x14ac:dyDescent="0.25">
      <c r="A238" s="270">
        <v>2</v>
      </c>
      <c r="B238" s="271"/>
      <c r="C238" s="255"/>
      <c r="D238" s="250"/>
      <c r="E238" s="250"/>
      <c r="F238" s="249"/>
      <c r="G238" s="275"/>
      <c r="H238" s="275"/>
      <c r="I238" s="272">
        <f>I237-G238+H238</f>
        <v>88297846.549999952</v>
      </c>
      <c r="J238" s="289"/>
    </row>
    <row r="239" spans="1:15" x14ac:dyDescent="0.25">
      <c r="A239" s="270">
        <v>3</v>
      </c>
      <c r="B239" s="271"/>
      <c r="C239" s="255"/>
      <c r="D239" s="250"/>
      <c r="E239" s="250"/>
      <c r="F239" s="249"/>
      <c r="G239" s="275"/>
      <c r="H239" s="275"/>
      <c r="I239" s="272">
        <f t="shared" ref="I239:I261" si="12">I238-G239+H239</f>
        <v>88297846.549999952</v>
      </c>
      <c r="J239" s="289"/>
      <c r="M239" s="298"/>
      <c r="N239" s="298"/>
    </row>
    <row r="240" spans="1:15" x14ac:dyDescent="0.25">
      <c r="A240" s="270">
        <v>4</v>
      </c>
      <c r="B240" s="280"/>
      <c r="C240" s="281"/>
      <c r="D240" s="282"/>
      <c r="E240" s="282"/>
      <c r="F240" s="249"/>
      <c r="G240" s="283"/>
      <c r="H240" s="283"/>
      <c r="I240" s="272">
        <f t="shared" si="12"/>
        <v>88297846.549999952</v>
      </c>
      <c r="J240" s="289"/>
      <c r="N240" s="299"/>
    </row>
    <row r="241" spans="1:15" x14ac:dyDescent="0.25">
      <c r="A241" s="270">
        <v>5</v>
      </c>
      <c r="B241" s="271"/>
      <c r="C241" s="255"/>
      <c r="D241" s="251"/>
      <c r="E241" s="251"/>
      <c r="F241" s="249"/>
      <c r="G241" s="272"/>
      <c r="H241" s="272"/>
      <c r="I241" s="272">
        <f t="shared" si="12"/>
        <v>88297846.549999952</v>
      </c>
      <c r="J241" s="289"/>
      <c r="N241" s="299"/>
    </row>
    <row r="242" spans="1:15" x14ac:dyDescent="0.25">
      <c r="A242" s="270">
        <v>6</v>
      </c>
      <c r="B242" s="271"/>
      <c r="C242" s="255"/>
      <c r="D242" s="251"/>
      <c r="E242" s="251"/>
      <c r="F242" s="249"/>
      <c r="G242" s="272"/>
      <c r="H242" s="272"/>
      <c r="I242" s="272">
        <f t="shared" si="12"/>
        <v>88297846.549999952</v>
      </c>
      <c r="J242" s="289"/>
      <c r="M242" s="299"/>
    </row>
    <row r="243" spans="1:15" x14ac:dyDescent="0.25">
      <c r="A243" s="270">
        <v>7</v>
      </c>
      <c r="B243" s="271"/>
      <c r="C243" s="255"/>
      <c r="D243" s="251"/>
      <c r="E243" s="251"/>
      <c r="F243" s="249"/>
      <c r="G243" s="272"/>
      <c r="H243" s="272"/>
      <c r="I243" s="272">
        <f t="shared" si="12"/>
        <v>88297846.549999952</v>
      </c>
      <c r="J243" s="289"/>
    </row>
    <row r="244" spans="1:15" x14ac:dyDescent="0.25">
      <c r="A244" s="270">
        <v>8</v>
      </c>
      <c r="B244" s="271"/>
      <c r="C244" s="255"/>
      <c r="D244" s="251"/>
      <c r="E244" s="251"/>
      <c r="F244" s="249"/>
      <c r="G244" s="272"/>
      <c r="H244" s="272"/>
      <c r="I244" s="272">
        <f t="shared" si="12"/>
        <v>88297846.549999952</v>
      </c>
      <c r="J244" s="289"/>
      <c r="K244" s="297"/>
      <c r="L244" s="297"/>
      <c r="M244" s="300"/>
      <c r="N244" s="300"/>
    </row>
    <row r="245" spans="1:15" x14ac:dyDescent="0.25">
      <c r="A245" s="270">
        <v>9</v>
      </c>
      <c r="B245" s="271"/>
      <c r="C245" s="255"/>
      <c r="D245" s="252"/>
      <c r="E245" s="252"/>
      <c r="F245" s="249"/>
      <c r="G245" s="272"/>
      <c r="H245" s="272"/>
      <c r="I245" s="272">
        <f t="shared" si="12"/>
        <v>88297846.549999952</v>
      </c>
      <c r="J245" s="289"/>
    </row>
    <row r="246" spans="1:15" x14ac:dyDescent="0.25">
      <c r="A246" s="270">
        <v>10</v>
      </c>
      <c r="B246" s="271"/>
      <c r="C246" s="255"/>
      <c r="D246" s="251"/>
      <c r="E246" s="251"/>
      <c r="F246" s="249"/>
      <c r="G246" s="272"/>
      <c r="H246" s="272"/>
      <c r="I246" s="272">
        <f t="shared" si="12"/>
        <v>88297846.549999952</v>
      </c>
      <c r="J246" s="289"/>
    </row>
    <row r="247" spans="1:15" x14ac:dyDescent="0.25">
      <c r="A247" s="270">
        <v>11</v>
      </c>
      <c r="B247" s="271"/>
      <c r="C247" s="255"/>
      <c r="D247" s="251"/>
      <c r="E247" s="251"/>
      <c r="F247" s="249"/>
      <c r="G247" s="272"/>
      <c r="H247" s="272"/>
      <c r="I247" s="272">
        <f t="shared" si="12"/>
        <v>88297846.549999952</v>
      </c>
      <c r="J247" s="289"/>
      <c r="K247" s="301"/>
    </row>
    <row r="248" spans="1:15" x14ac:dyDescent="0.25">
      <c r="A248" s="270">
        <v>12</v>
      </c>
      <c r="B248" s="271"/>
      <c r="C248" s="255"/>
      <c r="D248" s="251"/>
      <c r="E248" s="251"/>
      <c r="F248" s="249"/>
      <c r="G248" s="272"/>
      <c r="H248" s="272"/>
      <c r="I248" s="272">
        <f t="shared" si="12"/>
        <v>88297846.549999952</v>
      </c>
      <c r="J248" s="289"/>
      <c r="N248" s="291"/>
      <c r="O248" s="291"/>
    </row>
    <row r="249" spans="1:15" x14ac:dyDescent="0.25">
      <c r="A249" s="270">
        <v>13</v>
      </c>
      <c r="B249" s="271"/>
      <c r="C249" s="255"/>
      <c r="D249" s="252"/>
      <c r="E249" s="251"/>
      <c r="F249" s="249"/>
      <c r="G249" s="272"/>
      <c r="H249" s="272"/>
      <c r="I249" s="272">
        <f t="shared" si="12"/>
        <v>88297846.549999952</v>
      </c>
      <c r="J249" s="289"/>
      <c r="K249" s="298"/>
      <c r="L249" s="298"/>
      <c r="M249" s="298"/>
      <c r="N249" s="291"/>
      <c r="O249" s="291"/>
    </row>
    <row r="250" spans="1:15" x14ac:dyDescent="0.25">
      <c r="A250" s="270">
        <v>14</v>
      </c>
      <c r="B250" s="271"/>
      <c r="C250" s="255"/>
      <c r="D250" s="251"/>
      <c r="E250" s="252"/>
      <c r="F250" s="249"/>
      <c r="G250" s="272"/>
      <c r="H250" s="272"/>
      <c r="I250" s="272">
        <f t="shared" si="12"/>
        <v>88297846.549999952</v>
      </c>
      <c r="J250" s="289"/>
      <c r="M250" s="299"/>
      <c r="N250" s="291"/>
      <c r="O250" s="291"/>
    </row>
    <row r="251" spans="1:15" x14ac:dyDescent="0.25">
      <c r="A251" s="270">
        <v>15</v>
      </c>
      <c r="B251" s="271"/>
      <c r="C251" s="255"/>
      <c r="D251" s="251"/>
      <c r="E251" s="251"/>
      <c r="F251" s="249"/>
      <c r="G251" s="272"/>
      <c r="H251" s="272"/>
      <c r="I251" s="272">
        <f t="shared" si="12"/>
        <v>88297846.549999952</v>
      </c>
      <c r="J251" s="289"/>
      <c r="N251" s="291"/>
      <c r="O251" s="291"/>
    </row>
    <row r="252" spans="1:15" x14ac:dyDescent="0.25">
      <c r="A252" s="270">
        <v>16</v>
      </c>
      <c r="B252" s="271"/>
      <c r="C252" s="255"/>
      <c r="D252" s="251"/>
      <c r="E252" s="251"/>
      <c r="F252" s="249"/>
      <c r="G252" s="272"/>
      <c r="H252" s="272"/>
      <c r="I252" s="272">
        <f t="shared" si="12"/>
        <v>88297846.549999952</v>
      </c>
      <c r="J252" s="289"/>
      <c r="K252" s="298"/>
      <c r="L252" s="298"/>
      <c r="M252" s="298"/>
      <c r="N252" s="291"/>
      <c r="O252" s="291"/>
    </row>
    <row r="253" spans="1:15" x14ac:dyDescent="0.25">
      <c r="A253" s="270">
        <v>17</v>
      </c>
      <c r="B253" s="271"/>
      <c r="C253" s="255"/>
      <c r="D253" s="251"/>
      <c r="E253" s="251"/>
      <c r="F253" s="249"/>
      <c r="G253" s="272"/>
      <c r="H253" s="272"/>
      <c r="I253" s="272">
        <f t="shared" si="12"/>
        <v>88297846.549999952</v>
      </c>
      <c r="J253" s="289"/>
      <c r="M253" s="299"/>
      <c r="N253" s="291"/>
      <c r="O253" s="291"/>
    </row>
    <row r="254" spans="1:15" x14ac:dyDescent="0.25">
      <c r="A254" s="270">
        <v>18</v>
      </c>
      <c r="B254" s="271"/>
      <c r="C254" s="255"/>
      <c r="D254" s="251"/>
      <c r="E254" s="251"/>
      <c r="F254" s="249"/>
      <c r="G254" s="272"/>
      <c r="H254" s="272"/>
      <c r="I254" s="272">
        <f t="shared" si="12"/>
        <v>88297846.549999952</v>
      </c>
      <c r="J254" s="289"/>
      <c r="N254" s="291"/>
      <c r="O254" s="291"/>
    </row>
    <row r="255" spans="1:15" x14ac:dyDescent="0.25">
      <c r="A255" s="270">
        <v>19</v>
      </c>
      <c r="B255" s="271"/>
      <c r="C255" s="255"/>
      <c r="D255" s="251"/>
      <c r="E255" s="251"/>
      <c r="F255" s="249"/>
      <c r="G255" s="272"/>
      <c r="H255" s="272"/>
      <c r="I255" s="272">
        <f t="shared" si="12"/>
        <v>88297846.549999952</v>
      </c>
      <c r="J255" s="289"/>
      <c r="M255" s="299"/>
      <c r="N255" s="291"/>
      <c r="O255" s="291"/>
    </row>
    <row r="256" spans="1:15" x14ac:dyDescent="0.25">
      <c r="A256" s="270">
        <v>20</v>
      </c>
      <c r="B256" s="271"/>
      <c r="C256" s="255"/>
      <c r="D256" s="251"/>
      <c r="E256" s="251"/>
      <c r="F256" s="249"/>
      <c r="G256" s="272"/>
      <c r="H256" s="272"/>
      <c r="I256" s="272">
        <f t="shared" si="12"/>
        <v>88297846.549999952</v>
      </c>
      <c r="J256" s="289"/>
      <c r="M256" s="299"/>
      <c r="N256" s="291"/>
      <c r="O256" s="291"/>
    </row>
    <row r="257" spans="1:15" x14ac:dyDescent="0.25">
      <c r="A257" s="270">
        <v>21</v>
      </c>
      <c r="B257" s="271"/>
      <c r="C257" s="255"/>
      <c r="D257" s="252"/>
      <c r="E257" s="252"/>
      <c r="F257" s="249"/>
      <c r="G257" s="272"/>
      <c r="H257" s="272"/>
      <c r="I257" s="272">
        <f t="shared" si="12"/>
        <v>88297846.549999952</v>
      </c>
      <c r="J257" s="289"/>
      <c r="N257" s="291"/>
      <c r="O257" s="291"/>
    </row>
    <row r="258" spans="1:15" x14ac:dyDescent="0.25">
      <c r="A258" s="270">
        <v>22</v>
      </c>
      <c r="B258" s="271"/>
      <c r="C258" s="255"/>
      <c r="D258" s="251"/>
      <c r="E258" s="251"/>
      <c r="F258" s="249"/>
      <c r="G258" s="272"/>
      <c r="H258" s="272"/>
      <c r="I258" s="272">
        <f t="shared" si="12"/>
        <v>88297846.549999952</v>
      </c>
      <c r="J258" s="289"/>
      <c r="N258" s="291"/>
      <c r="O258" s="291"/>
    </row>
    <row r="259" spans="1:15" x14ac:dyDescent="0.25">
      <c r="A259" s="270">
        <v>23</v>
      </c>
      <c r="B259" s="271"/>
      <c r="C259" s="255"/>
      <c r="D259" s="251"/>
      <c r="E259" s="251"/>
      <c r="F259" s="249"/>
      <c r="G259" s="272"/>
      <c r="H259" s="272"/>
      <c r="I259" s="272">
        <f t="shared" si="12"/>
        <v>88297846.549999952</v>
      </c>
      <c r="J259" s="289"/>
      <c r="M259" s="299"/>
      <c r="N259" s="291"/>
      <c r="O259" s="291"/>
    </row>
    <row r="260" spans="1:15" x14ac:dyDescent="0.25">
      <c r="A260" s="270">
        <v>24</v>
      </c>
      <c r="B260" s="271"/>
      <c r="C260" s="255"/>
      <c r="D260" s="251"/>
      <c r="E260" s="251"/>
      <c r="F260" s="249"/>
      <c r="G260" s="272"/>
      <c r="H260" s="272"/>
      <c r="I260" s="272">
        <f t="shared" si="12"/>
        <v>88297846.549999952</v>
      </c>
      <c r="J260" s="289"/>
      <c r="M260" s="299"/>
      <c r="N260" s="291"/>
      <c r="O260" s="291"/>
    </row>
    <row r="261" spans="1:15" x14ac:dyDescent="0.25">
      <c r="A261" s="270">
        <v>25</v>
      </c>
      <c r="B261" s="271"/>
      <c r="C261" s="255"/>
      <c r="D261" s="252"/>
      <c r="E261" s="252"/>
      <c r="F261" s="249"/>
      <c r="G261" s="272"/>
      <c r="H261" s="272"/>
      <c r="I261" s="272">
        <f t="shared" si="12"/>
        <v>88297846.549999952</v>
      </c>
      <c r="J261" s="289"/>
      <c r="N261" s="291"/>
      <c r="O261" s="291"/>
    </row>
    <row r="262" spans="1:15" ht="13.5" thickBot="1" x14ac:dyDescent="0.3">
      <c r="A262" s="273"/>
      <c r="B262" s="276" t="s">
        <v>38</v>
      </c>
      <c r="C262" s="279"/>
      <c r="D262" s="277"/>
      <c r="E262" s="277"/>
      <c r="F262" s="278"/>
      <c r="G262" s="274">
        <f>SUM(G237:G261)</f>
        <v>0</v>
      </c>
      <c r="H262" s="274">
        <f>SUM(H237:H261)</f>
        <v>0</v>
      </c>
      <c r="I262" s="274">
        <f>I261</f>
        <v>88297846.549999952</v>
      </c>
      <c r="J262" s="533"/>
      <c r="N262" s="291"/>
      <c r="O262" s="291"/>
    </row>
    <row r="263" spans="1:15" x14ac:dyDescent="0.25">
      <c r="J263" s="534"/>
      <c r="K263" s="291"/>
      <c r="L263" s="291"/>
      <c r="M263" s="291"/>
      <c r="N263" s="291"/>
      <c r="O263" s="291"/>
    </row>
    <row r="264" spans="1:15" x14ac:dyDescent="0.25">
      <c r="F264" s="889" t="s">
        <v>37</v>
      </c>
      <c r="G264" s="889"/>
      <c r="H264" s="302">
        <f>I6</f>
        <v>193962706.27000001</v>
      </c>
      <c r="K264" s="291"/>
      <c r="L264" s="291"/>
      <c r="M264" s="291"/>
      <c r="N264" s="291"/>
      <c r="O264" s="291"/>
    </row>
    <row r="265" spans="1:15" x14ac:dyDescent="0.25">
      <c r="F265" s="889" t="s">
        <v>39</v>
      </c>
      <c r="G265" s="889"/>
      <c r="H265" s="302">
        <f>G20+G43+G66+G86+G117+G131+G156+G174+G192+G211+G235+G262</f>
        <v>3259794250.2599998</v>
      </c>
      <c r="K265" s="291"/>
      <c r="L265" s="291"/>
      <c r="M265" s="291"/>
      <c r="N265" s="291"/>
      <c r="O265" s="291"/>
    </row>
    <row r="266" spans="1:15" x14ac:dyDescent="0.25">
      <c r="F266" s="889" t="s">
        <v>40</v>
      </c>
      <c r="G266" s="889"/>
      <c r="H266" s="302">
        <f>H20+H43+H66+H86+H117+H131+H156+H174+H192+H211+H235+H262</f>
        <v>3154129390.5400004</v>
      </c>
      <c r="I266" s="302"/>
      <c r="K266" s="291"/>
      <c r="L266" s="291"/>
      <c r="M266" s="291"/>
      <c r="N266" s="291"/>
      <c r="O266" s="291"/>
    </row>
    <row r="268" spans="1:15" x14ac:dyDescent="0.25">
      <c r="F268" s="889" t="s">
        <v>41</v>
      </c>
      <c r="G268" s="889"/>
      <c r="H268" s="302">
        <f>H264-H265+H266</f>
        <v>88297846.550000668</v>
      </c>
      <c r="K268" s="291"/>
      <c r="L268" s="291"/>
      <c r="M268" s="291"/>
      <c r="N268" s="291"/>
      <c r="O268" s="291"/>
    </row>
    <row r="269" spans="1:15" x14ac:dyDescent="0.25">
      <c r="H269" s="303"/>
      <c r="K269" s="291"/>
      <c r="L269" s="291"/>
      <c r="M269" s="291"/>
      <c r="N269" s="291"/>
      <c r="O269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5:F5"/>
    <mergeCell ref="F265:G265"/>
    <mergeCell ref="F266:G266"/>
    <mergeCell ref="F268:G268"/>
    <mergeCell ref="C4:F4"/>
    <mergeCell ref="F264:G264"/>
    <mergeCell ref="C21:F21"/>
    <mergeCell ref="C44:F44"/>
    <mergeCell ref="C67:F67"/>
    <mergeCell ref="C87:F87"/>
    <mergeCell ref="C212:F212"/>
    <mergeCell ref="C236:F236"/>
    <mergeCell ref="C118:F118"/>
    <mergeCell ref="C132:F132"/>
    <mergeCell ref="C157:F157"/>
    <mergeCell ref="C175:F175"/>
    <mergeCell ref="C193:F193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"/>
  <sheetViews>
    <sheetView workbookViewId="0">
      <pane xSplit="1" ySplit="8" topLeftCell="B12" activePane="bottomRight" state="frozen"/>
      <selection pane="topRight" activeCell="B1" sqref="B1"/>
      <selection pane="bottomLeft" activeCell="A9" sqref="A9"/>
      <selection pane="bottomRight" activeCell="A19" sqref="A19:T19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292</v>
      </c>
    </row>
    <row r="2" spans="1:20" x14ac:dyDescent="0.2">
      <c r="A2" s="41" t="s">
        <v>42</v>
      </c>
    </row>
    <row r="3" spans="1:20" x14ac:dyDescent="0.2">
      <c r="A3" s="41" t="s">
        <v>399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96" t="s">
        <v>67</v>
      </c>
      <c r="D7" s="896"/>
      <c r="E7" s="896"/>
      <c r="F7" s="896" t="s">
        <v>68</v>
      </c>
      <c r="G7" s="896"/>
      <c r="H7" s="896"/>
      <c r="I7" s="896" t="s">
        <v>59</v>
      </c>
      <c r="J7" s="896"/>
      <c r="K7" s="896" t="s">
        <v>78</v>
      </c>
      <c r="L7" s="896"/>
      <c r="M7" s="897" t="s">
        <v>77</v>
      </c>
      <c r="N7" s="897"/>
      <c r="O7" s="896" t="s">
        <v>69</v>
      </c>
      <c r="P7" s="896"/>
      <c r="Q7" s="896"/>
      <c r="R7" s="896"/>
      <c r="S7" s="896"/>
      <c r="T7" s="896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1" customFormat="1" x14ac:dyDescent="0.2">
      <c r="A11" s="521" t="s">
        <v>4</v>
      </c>
      <c r="B11" s="732">
        <v>0</v>
      </c>
      <c r="C11" s="732">
        <v>0</v>
      </c>
      <c r="D11" s="732">
        <v>0</v>
      </c>
      <c r="E11" s="732">
        <v>0</v>
      </c>
      <c r="F11" s="732">
        <v>0</v>
      </c>
      <c r="G11" s="732">
        <v>0</v>
      </c>
      <c r="H11" s="732">
        <v>0</v>
      </c>
      <c r="I11" s="732"/>
      <c r="J11" s="732">
        <f t="shared" si="0"/>
        <v>0</v>
      </c>
      <c r="K11" s="732"/>
      <c r="L11" s="732">
        <f>K11*10%</f>
        <v>0</v>
      </c>
      <c r="M11" s="52">
        <f>'REKAP PENJUALAN'!K557</f>
        <v>1347050047</v>
      </c>
      <c r="N11" s="732">
        <f>M11*1%</f>
        <v>13470500.470000001</v>
      </c>
      <c r="O11" s="732">
        <f>'REKAP PENJUALAN'!I557</f>
        <v>1213558600.9009004</v>
      </c>
      <c r="P11" s="732">
        <f>'REKAP PENJUALAN'!J557</f>
        <v>133491446.09909904</v>
      </c>
      <c r="Q11" s="732">
        <f>'REKAP PEMBELIAN'!J203</f>
        <v>1015618672</v>
      </c>
      <c r="R11" s="732">
        <f>'REKAP PEMBELIAN'!K203</f>
        <v>111718028</v>
      </c>
      <c r="S11" s="55"/>
      <c r="T11" s="733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PENJUALAN'!K881</f>
        <v>2645165544</v>
      </c>
      <c r="N13" s="40">
        <f t="shared" ref="N13:N20" si="3">M13*1%</f>
        <v>26451655.440000001</v>
      </c>
      <c r="O13" s="40">
        <f>'REKAP PENJUALAN'!I881</f>
        <v>2383032021.6216216</v>
      </c>
      <c r="P13" s="40">
        <f>'REKAP PENJUALAN'!J881</f>
        <v>262133522.37837827</v>
      </c>
      <c r="Q13" s="40">
        <f>'REKAP PEMBELIAN'!J340</f>
        <v>2152203297</v>
      </c>
      <c r="R13" s="40">
        <f>'REKAP PEMBELIAN'!K340</f>
        <v>236742327</v>
      </c>
      <c r="S13" s="55"/>
      <c r="T13" s="53">
        <f t="shared" si="1"/>
        <v>25391195.378378272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PENJUALAN'!K1099</f>
        <v>2261086269.5</v>
      </c>
      <c r="N14" s="40">
        <f t="shared" si="3"/>
        <v>22610862.695</v>
      </c>
      <c r="O14" s="40">
        <f>'REKAP PENJUALAN'!I1099</f>
        <v>2037014657.207206</v>
      </c>
      <c r="P14" s="40">
        <f>'REKAP PENJUALAN'!J1099</f>
        <v>224071612.29279295</v>
      </c>
      <c r="Q14" s="40">
        <f>'REKAP PEMBELIAN'!J415</f>
        <v>1811383445</v>
      </c>
      <c r="R14" s="40">
        <f>'REKAP PEMBELIAN'!K415</f>
        <v>199252148</v>
      </c>
      <c r="S14" s="55"/>
      <c r="T14" s="53">
        <f t="shared" si="1"/>
        <v>24819464.292792946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PENJUALAN'!K1332</f>
        <v>2687417339.5</v>
      </c>
      <c r="N15" s="40">
        <f t="shared" si="3"/>
        <v>26874173.395</v>
      </c>
      <c r="O15" s="40">
        <f>'REKAP PENJUALAN'!I1332</f>
        <v>2421096702.2522521</v>
      </c>
      <c r="P15" s="40">
        <f>'REKAP PENJUALAN'!J1332</f>
        <v>266320637.24774766</v>
      </c>
      <c r="Q15" s="40">
        <f>'REKAP PEMBELIAN'!J499</f>
        <v>2336415546.6756754</v>
      </c>
      <c r="R15" s="40">
        <f>'REKAP PEMBELIAN'!K499</f>
        <v>257005683.32432434</v>
      </c>
      <c r="S15" s="55"/>
      <c r="T15" s="53">
        <f t="shared" si="1"/>
        <v>9314953.9234233201</v>
      </c>
    </row>
    <row r="16" spans="1:20" x14ac:dyDescent="0.2">
      <c r="A16" s="521" t="s">
        <v>9</v>
      </c>
      <c r="B16" s="732">
        <v>0</v>
      </c>
      <c r="C16" s="732">
        <v>0</v>
      </c>
      <c r="D16" s="732">
        <v>0</v>
      </c>
      <c r="E16" s="732">
        <v>0</v>
      </c>
      <c r="F16" s="732">
        <v>0</v>
      </c>
      <c r="G16" s="732">
        <v>0</v>
      </c>
      <c r="H16" s="732">
        <v>0</v>
      </c>
      <c r="I16" s="732"/>
      <c r="J16" s="732">
        <f t="shared" si="0"/>
        <v>0</v>
      </c>
      <c r="K16" s="732"/>
      <c r="L16" s="732">
        <f t="shared" si="2"/>
        <v>0</v>
      </c>
      <c r="M16" s="52">
        <f>'REKAP PENJUALAN'!K1520</f>
        <v>1409666130</v>
      </c>
      <c r="N16" s="732">
        <f>M16*1%</f>
        <v>14096661.300000001</v>
      </c>
      <c r="O16" s="732">
        <f>'REKAP PENJUALAN'!I1520</f>
        <v>1269969486.486486</v>
      </c>
      <c r="P16" s="732">
        <f>'REKAP PENJUALAN'!J1520</f>
        <v>139696643.51351351</v>
      </c>
      <c r="Q16" s="732">
        <f>'REKAP PEMBELIAN'!J573</f>
        <v>1003392134.3963964</v>
      </c>
      <c r="R16" s="732">
        <f>'REKAP PEMBELIAN'!K573</f>
        <v>110373105.1036036</v>
      </c>
      <c r="S16" s="55"/>
      <c r="T16" s="733">
        <f>P16-R16</f>
        <v>29323538.409909904</v>
      </c>
    </row>
    <row r="17" spans="1:20" x14ac:dyDescent="0.2">
      <c r="A17" s="521" t="s">
        <v>10</v>
      </c>
      <c r="B17" s="732">
        <v>0</v>
      </c>
      <c r="C17" s="732">
        <v>0</v>
      </c>
      <c r="D17" s="732">
        <v>0</v>
      </c>
      <c r="E17" s="732">
        <v>0</v>
      </c>
      <c r="F17" s="732">
        <v>0</v>
      </c>
      <c r="G17" s="732">
        <v>0</v>
      </c>
      <c r="H17" s="732">
        <v>0</v>
      </c>
      <c r="I17" s="732"/>
      <c r="J17" s="732">
        <f t="shared" si="0"/>
        <v>0</v>
      </c>
      <c r="K17" s="732"/>
      <c r="L17" s="732">
        <f t="shared" si="2"/>
        <v>0</v>
      </c>
      <c r="M17" s="52">
        <f>'REKAP PENJUALAN'!K1673</f>
        <v>1218632692</v>
      </c>
      <c r="N17" s="732">
        <f t="shared" si="3"/>
        <v>12186326.92</v>
      </c>
      <c r="O17" s="732">
        <f>'REKAP PENJUALAN'!I1673</f>
        <v>1097867290.09009</v>
      </c>
      <c r="P17" s="732">
        <f>'REKAP PENJUALAN'!J1673</f>
        <v>120765401.90990986</v>
      </c>
      <c r="Q17" s="732">
        <f>'REKAP PEMBELIAN'!J634</f>
        <v>1046943868</v>
      </c>
      <c r="R17" s="732">
        <f>'REKAP PEMBELIAN'!K634</f>
        <v>115163799</v>
      </c>
      <c r="S17" s="55"/>
      <c r="T17" s="733">
        <f t="shared" si="1"/>
        <v>5601602.9099098593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PENJUALAN'!K1835</f>
        <v>1265013354</v>
      </c>
      <c r="N18" s="40">
        <f t="shared" si="3"/>
        <v>12650133.540000001</v>
      </c>
      <c r="O18" s="40">
        <f>'REKAP PENJUALAN'!I1835</f>
        <v>1139651670.2702696</v>
      </c>
      <c r="P18" s="40">
        <f>'REKAP PENJUALAN'!J1835</f>
        <v>125361683.72972974</v>
      </c>
      <c r="Q18" s="40">
        <f>'REKAP PEMBELIAN'!J698</f>
        <v>1051143434.3243244</v>
      </c>
      <c r="R18" s="40">
        <f>'REKAP PEMBELIAN'!K698</f>
        <v>115625752.67567568</v>
      </c>
      <c r="S18" s="55"/>
      <c r="T18" s="53">
        <f>P18-R18-7625-1</f>
        <v>9728305.0540540665</v>
      </c>
    </row>
    <row r="19" spans="1:20" x14ac:dyDescent="0.2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PENJUALAN'!K2027</f>
        <v>1737647360</v>
      </c>
      <c r="N19" s="40">
        <f t="shared" si="3"/>
        <v>17376473.600000001</v>
      </c>
      <c r="O19" s="40">
        <f>'REKAP PENJUALAN'!I2027</f>
        <v>1565448072.0720718</v>
      </c>
      <c r="P19" s="40">
        <f>'REKAP PENJUALAN'!J2027</f>
        <v>172199287.92792791</v>
      </c>
      <c r="Q19" s="40">
        <f>'REKAP PEMBELIAN'!J782</f>
        <v>1477919736</v>
      </c>
      <c r="R19" s="53">
        <f>'REKAP PEMBELIAN'!K782</f>
        <v>162571138</v>
      </c>
      <c r="S19" s="55"/>
      <c r="T19" s="53">
        <f t="shared" si="1"/>
        <v>9628149.9279279113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PENJUALAN'!K2229</f>
        <v>298790334.45999998</v>
      </c>
      <c r="N20" s="40">
        <f t="shared" si="3"/>
        <v>2987903.3446</v>
      </c>
      <c r="O20" s="40">
        <f>'REKAP PENJUALAN'!I2229</f>
        <v>269180481.4954955</v>
      </c>
      <c r="P20" s="40">
        <f>'REKAP PENJUALAN'!J2229</f>
        <v>29609852.964504506</v>
      </c>
      <c r="Q20" s="40">
        <f>'REKAP PEMBELIAN'!J865</f>
        <v>1257192934.8685505</v>
      </c>
      <c r="R20" s="40">
        <f>'REKAP PEMBELIAN'!K865</f>
        <v>138246346.00644964</v>
      </c>
      <c r="S20" s="55"/>
      <c r="T20" s="53">
        <f t="shared" si="1"/>
        <v>-108636493.04194513</v>
      </c>
    </row>
    <row r="21" spans="1:20" ht="15" thickBot="1" x14ac:dyDescent="0.25">
      <c r="B21" s="45">
        <f>SUM(B9:B20)</f>
        <v>0</v>
      </c>
      <c r="C21" s="45"/>
      <c r="D21" s="45">
        <f t="shared" ref="D21:J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 t="shared" ref="K21:T21" si="5">SUM(K9:K20)</f>
        <v>0</v>
      </c>
      <c r="L21" s="45">
        <f t="shared" si="5"/>
        <v>0</v>
      </c>
      <c r="M21" s="45">
        <f t="shared" si="5"/>
        <v>20537953351.459999</v>
      </c>
      <c r="N21" s="45">
        <f t="shared" si="5"/>
        <v>205379533.51459998</v>
      </c>
      <c r="O21" s="45">
        <f t="shared" si="5"/>
        <v>18502660676.99099</v>
      </c>
      <c r="P21" s="45">
        <f t="shared" si="5"/>
        <v>2035292674.4690087</v>
      </c>
      <c r="Q21" s="45">
        <f t="shared" si="5"/>
        <v>17798608714.264946</v>
      </c>
      <c r="R21" s="45">
        <f t="shared" si="5"/>
        <v>1957801771.3600533</v>
      </c>
      <c r="S21" s="45">
        <f t="shared" si="5"/>
        <v>0</v>
      </c>
      <c r="T21" s="45">
        <f t="shared" si="5"/>
        <v>77483277.108955294</v>
      </c>
    </row>
    <row r="22" spans="1:20" ht="15" thickTop="1" x14ac:dyDescent="0.2"/>
    <row r="23" spans="1:20" x14ac:dyDescent="0.2">
      <c r="A23" s="47" t="s">
        <v>61</v>
      </c>
    </row>
    <row r="25" spans="1:20" x14ac:dyDescent="0.2">
      <c r="A25" s="48" t="s">
        <v>62</v>
      </c>
    </row>
    <row r="26" spans="1:20" x14ac:dyDescent="0.2">
      <c r="A26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"/>
  <sheetViews>
    <sheetView workbookViewId="0">
      <selection activeCell="B11" sqref="B11"/>
    </sheetView>
  </sheetViews>
  <sheetFormatPr defaultRowHeight="14.25" x14ac:dyDescent="0.2"/>
  <cols>
    <col min="1" max="1" width="5.7109375" style="41" customWidth="1"/>
    <col min="2" max="2" width="23.28515625" style="41" customWidth="1"/>
    <col min="3" max="3" width="40.7109375" style="41" customWidth="1"/>
    <col min="4" max="5" width="15.7109375" style="41" customWidth="1"/>
    <col min="6" max="6" width="12.7109375" style="41" customWidth="1"/>
    <col min="7" max="7" width="20.7109375" style="40" customWidth="1"/>
    <col min="8" max="11" width="9.140625" style="41"/>
    <col min="12" max="12" width="17.5703125" style="41" bestFit="1" customWidth="1"/>
    <col min="13" max="16384" width="9.140625" style="41"/>
  </cols>
  <sheetData>
    <row r="1" spans="1:8" x14ac:dyDescent="0.2">
      <c r="A1" s="39" t="s">
        <v>206</v>
      </c>
      <c r="B1" s="39"/>
    </row>
    <row r="2" spans="1:8" x14ac:dyDescent="0.2">
      <c r="A2" s="41" t="s">
        <v>169</v>
      </c>
    </row>
    <row r="3" spans="1:8" x14ac:dyDescent="0.2">
      <c r="A3" s="41" t="s">
        <v>399</v>
      </c>
    </row>
    <row r="5" spans="1:8" s="172" customFormat="1" ht="15.75" x14ac:dyDescent="0.25">
      <c r="A5" s="209" t="s">
        <v>32</v>
      </c>
      <c r="B5" s="209" t="s">
        <v>174</v>
      </c>
      <c r="C5" s="209" t="s">
        <v>173</v>
      </c>
      <c r="D5" s="209" t="s">
        <v>175</v>
      </c>
      <c r="E5" s="209" t="s">
        <v>168</v>
      </c>
      <c r="F5" s="209" t="s">
        <v>96</v>
      </c>
      <c r="G5" s="210" t="s">
        <v>38</v>
      </c>
    </row>
    <row r="6" spans="1:8" s="790" customFormat="1" ht="15.75" x14ac:dyDescent="0.25">
      <c r="A6" s="795" t="s">
        <v>104</v>
      </c>
      <c r="B6" s="801"/>
      <c r="C6" s="793"/>
      <c r="D6" s="793"/>
      <c r="E6" s="793"/>
      <c r="F6" s="793"/>
      <c r="G6" s="794"/>
    </row>
    <row r="7" spans="1:8" x14ac:dyDescent="0.2">
      <c r="A7" s="110">
        <v>1</v>
      </c>
      <c r="B7" s="110" t="s">
        <v>2849</v>
      </c>
      <c r="C7" s="797" t="s">
        <v>2850</v>
      </c>
      <c r="D7" s="797" t="s">
        <v>2851</v>
      </c>
      <c r="E7" s="347" t="s">
        <v>6636</v>
      </c>
      <c r="F7" s="173">
        <v>45112</v>
      </c>
      <c r="G7" s="111">
        <v>93689</v>
      </c>
      <c r="H7" s="48"/>
    </row>
    <row r="8" spans="1:8" x14ac:dyDescent="0.2">
      <c r="A8" s="110">
        <v>2</v>
      </c>
      <c r="B8" s="110" t="s">
        <v>2849</v>
      </c>
      <c r="C8" s="797" t="s">
        <v>2850</v>
      </c>
      <c r="D8" s="797" t="s">
        <v>2851</v>
      </c>
      <c r="E8" s="110" t="s">
        <v>6637</v>
      </c>
      <c r="F8" s="173">
        <v>45135</v>
      </c>
      <c r="G8" s="111">
        <v>20756</v>
      </c>
      <c r="H8" s="48"/>
    </row>
    <row r="9" spans="1:8" ht="15" thickBot="1" x14ac:dyDescent="0.25">
      <c r="A9" s="898" t="s">
        <v>286</v>
      </c>
      <c r="B9" s="899"/>
      <c r="C9" s="899"/>
      <c r="D9" s="899"/>
      <c r="E9" s="899"/>
      <c r="F9" s="900"/>
      <c r="G9" s="114">
        <f>SUM(G7:G8)</f>
        <v>114445</v>
      </c>
    </row>
    <row r="10" spans="1:8" ht="15" thickTop="1" x14ac:dyDescent="0.2">
      <c r="A10" s="796" t="s">
        <v>106</v>
      </c>
      <c r="B10" s="802"/>
      <c r="C10" s="791"/>
      <c r="D10" s="791"/>
      <c r="E10" s="791"/>
      <c r="F10" s="791"/>
      <c r="G10" s="792"/>
    </row>
    <row r="11" spans="1:8" x14ac:dyDescent="0.2">
      <c r="A11" s="110">
        <v>1</v>
      </c>
      <c r="B11" s="110"/>
      <c r="C11" s="797"/>
      <c r="D11" s="797"/>
      <c r="E11" s="110"/>
      <c r="F11" s="173"/>
      <c r="G11" s="111"/>
      <c r="H11" s="48"/>
    </row>
    <row r="12" spans="1:8" ht="15" x14ac:dyDescent="0.2">
      <c r="A12" s="110">
        <v>2</v>
      </c>
      <c r="B12" s="110"/>
      <c r="C12" s="798"/>
      <c r="D12" s="799"/>
      <c r="E12" s="110"/>
      <c r="F12" s="173"/>
      <c r="G12" s="800"/>
      <c r="H12" s="48"/>
    </row>
    <row r="13" spans="1:8" ht="15" x14ac:dyDescent="0.2">
      <c r="A13" s="110">
        <v>3</v>
      </c>
      <c r="B13" s="110"/>
      <c r="C13" s="798"/>
      <c r="D13" s="799"/>
      <c r="E13" s="110"/>
      <c r="F13" s="173"/>
      <c r="G13" s="800"/>
      <c r="H13" s="48"/>
    </row>
    <row r="14" spans="1:8" x14ac:dyDescent="0.2">
      <c r="A14" s="110">
        <v>4</v>
      </c>
      <c r="B14" s="110"/>
      <c r="C14" s="110"/>
      <c r="D14" s="110"/>
      <c r="E14" s="110"/>
      <c r="F14" s="173"/>
      <c r="G14" s="111"/>
      <c r="H14" s="48"/>
    </row>
    <row r="15" spans="1:8" x14ac:dyDescent="0.2">
      <c r="A15" s="110">
        <v>5</v>
      </c>
      <c r="B15" s="110"/>
      <c r="C15" s="110"/>
      <c r="D15" s="110"/>
      <c r="E15" s="110"/>
      <c r="F15" s="173"/>
      <c r="G15" s="111"/>
      <c r="H15" s="48"/>
    </row>
    <row r="16" spans="1:8" x14ac:dyDescent="0.2">
      <c r="A16" s="110">
        <v>6</v>
      </c>
      <c r="B16" s="110"/>
      <c r="C16" s="110"/>
      <c r="D16" s="110"/>
      <c r="E16" s="110"/>
      <c r="F16" s="173"/>
      <c r="G16" s="111"/>
      <c r="H16" s="48"/>
    </row>
    <row r="17" spans="1:8" x14ac:dyDescent="0.2">
      <c r="A17" s="110">
        <v>7</v>
      </c>
      <c r="B17" s="110"/>
      <c r="C17" s="110"/>
      <c r="D17" s="110"/>
      <c r="E17" s="110"/>
      <c r="F17" s="173"/>
      <c r="G17" s="111"/>
      <c r="H17" s="48"/>
    </row>
    <row r="18" spans="1:8" x14ac:dyDescent="0.2">
      <c r="A18" s="110">
        <v>8</v>
      </c>
      <c r="B18" s="110"/>
      <c r="C18" s="110"/>
      <c r="D18" s="110"/>
      <c r="E18" s="110"/>
      <c r="F18" s="173"/>
      <c r="G18" s="111"/>
      <c r="H18" s="48"/>
    </row>
    <row r="19" spans="1:8" x14ac:dyDescent="0.2">
      <c r="A19" s="110">
        <v>9</v>
      </c>
      <c r="B19" s="110"/>
      <c r="C19" s="110"/>
      <c r="D19" s="110"/>
      <c r="E19" s="110"/>
      <c r="F19" s="173"/>
      <c r="G19" s="111"/>
      <c r="H19" s="48"/>
    </row>
    <row r="20" spans="1:8" x14ac:dyDescent="0.2">
      <c r="A20" s="110">
        <v>10</v>
      </c>
      <c r="B20" s="110"/>
      <c r="C20" s="110"/>
      <c r="D20" s="110"/>
      <c r="E20" s="110"/>
      <c r="F20" s="173"/>
      <c r="G20" s="111"/>
      <c r="H20" s="48"/>
    </row>
    <row r="21" spans="1:8" x14ac:dyDescent="0.2">
      <c r="A21" s="110">
        <v>11</v>
      </c>
      <c r="B21" s="110"/>
      <c r="C21" s="110"/>
      <c r="D21" s="110"/>
      <c r="E21" s="110"/>
      <c r="F21" s="173"/>
      <c r="G21" s="111"/>
      <c r="H21" s="48"/>
    </row>
    <row r="22" spans="1:8" x14ac:dyDescent="0.2">
      <c r="A22" s="110">
        <v>12</v>
      </c>
      <c r="B22" s="110"/>
      <c r="C22" s="110"/>
      <c r="D22" s="110"/>
      <c r="E22" s="110"/>
      <c r="F22" s="173"/>
      <c r="G22" s="111"/>
      <c r="H22" s="48"/>
    </row>
    <row r="23" spans="1:8" x14ac:dyDescent="0.2">
      <c r="A23" s="110">
        <v>13</v>
      </c>
      <c r="B23" s="110"/>
      <c r="C23" s="110"/>
      <c r="D23" s="110"/>
      <c r="E23" s="110"/>
      <c r="F23" s="173"/>
      <c r="G23" s="111"/>
      <c r="H23" s="48"/>
    </row>
    <row r="24" spans="1:8" x14ac:dyDescent="0.2">
      <c r="A24" s="110">
        <v>14</v>
      </c>
      <c r="B24" s="110"/>
      <c r="C24" s="110"/>
      <c r="D24" s="110"/>
      <c r="E24" s="110"/>
      <c r="F24" s="173"/>
      <c r="G24" s="111"/>
      <c r="H24" s="48"/>
    </row>
    <row r="25" spans="1:8" x14ac:dyDescent="0.2">
      <c r="A25" s="110">
        <v>15</v>
      </c>
      <c r="B25" s="110"/>
      <c r="C25" s="110"/>
      <c r="D25" s="110"/>
      <c r="E25" s="110"/>
      <c r="F25" s="173"/>
      <c r="G25" s="111"/>
      <c r="H25" s="48"/>
    </row>
    <row r="26" spans="1:8" x14ac:dyDescent="0.2">
      <c r="A26" s="110">
        <v>16</v>
      </c>
      <c r="B26" s="110"/>
      <c r="C26" s="110"/>
      <c r="D26" s="110"/>
      <c r="E26" s="110"/>
      <c r="F26" s="173"/>
      <c r="G26" s="111"/>
      <c r="H26" s="48"/>
    </row>
    <row r="27" spans="1:8" x14ac:dyDescent="0.2">
      <c r="A27" s="110">
        <v>17</v>
      </c>
      <c r="B27" s="110"/>
      <c r="C27" s="110"/>
      <c r="D27" s="110"/>
      <c r="E27" s="110"/>
      <c r="F27" s="173"/>
      <c r="G27" s="111"/>
      <c r="H27" s="48"/>
    </row>
    <row r="28" spans="1:8" x14ac:dyDescent="0.2">
      <c r="A28" s="110">
        <v>18</v>
      </c>
      <c r="B28" s="110"/>
      <c r="C28" s="110"/>
      <c r="D28" s="110"/>
      <c r="E28" s="110"/>
      <c r="F28" s="173"/>
      <c r="G28" s="111"/>
      <c r="H28" s="48"/>
    </row>
    <row r="29" spans="1:8" x14ac:dyDescent="0.2">
      <c r="A29" s="110">
        <v>19</v>
      </c>
      <c r="B29" s="110"/>
      <c r="C29" s="110"/>
      <c r="D29" s="110"/>
      <c r="E29" s="110"/>
      <c r="F29" s="173"/>
      <c r="G29" s="111"/>
      <c r="H29" s="48"/>
    </row>
    <row r="30" spans="1:8" x14ac:dyDescent="0.2">
      <c r="A30" s="110">
        <v>20</v>
      </c>
      <c r="B30" s="110"/>
      <c r="C30" s="110"/>
      <c r="D30" s="110"/>
      <c r="E30" s="110"/>
      <c r="F30" s="173"/>
      <c r="G30" s="111"/>
      <c r="H30" s="48"/>
    </row>
    <row r="31" spans="1:8" ht="15" thickBot="1" x14ac:dyDescent="0.25">
      <c r="A31" s="898" t="s">
        <v>288</v>
      </c>
      <c r="B31" s="899"/>
      <c r="C31" s="899"/>
      <c r="D31" s="899"/>
      <c r="E31" s="899"/>
      <c r="F31" s="900"/>
      <c r="G31" s="114">
        <f>SUM(G11:G30)</f>
        <v>0</v>
      </c>
    </row>
    <row r="32" spans="1:8" ht="15" thickTop="1" x14ac:dyDescent="0.2">
      <c r="A32" s="110">
        <v>1</v>
      </c>
      <c r="B32" s="110"/>
      <c r="C32" s="110"/>
      <c r="D32" s="110"/>
      <c r="E32" s="110"/>
      <c r="F32" s="110"/>
      <c r="G32" s="111"/>
    </row>
    <row r="33" spans="1:7" x14ac:dyDescent="0.2">
      <c r="A33" s="110">
        <v>2</v>
      </c>
      <c r="B33" s="110"/>
      <c r="C33" s="110"/>
      <c r="D33" s="110"/>
      <c r="E33" s="110"/>
      <c r="F33" s="110"/>
      <c r="G33" s="111"/>
    </row>
    <row r="34" spans="1:7" x14ac:dyDescent="0.2">
      <c r="A34" s="110">
        <v>3</v>
      </c>
      <c r="B34" s="110"/>
      <c r="C34" s="110"/>
      <c r="D34" s="110"/>
      <c r="E34" s="110"/>
      <c r="F34" s="110"/>
      <c r="G34" s="111"/>
    </row>
    <row r="35" spans="1:7" x14ac:dyDescent="0.2">
      <c r="A35" s="110">
        <v>4</v>
      </c>
      <c r="B35" s="112"/>
      <c r="C35" s="112"/>
      <c r="D35" s="112"/>
      <c r="E35" s="112"/>
      <c r="F35" s="112"/>
      <c r="G35" s="113"/>
    </row>
    <row r="36" spans="1:7" x14ac:dyDescent="0.2">
      <c r="A36" s="110">
        <v>5</v>
      </c>
      <c r="B36" s="110"/>
      <c r="C36" s="110"/>
      <c r="D36" s="110"/>
      <c r="E36" s="110"/>
      <c r="F36" s="110"/>
      <c r="G36" s="111"/>
    </row>
    <row r="37" spans="1:7" x14ac:dyDescent="0.2">
      <c r="A37" s="110">
        <v>6</v>
      </c>
      <c r="B37" s="110"/>
      <c r="C37" s="110"/>
      <c r="D37" s="110"/>
      <c r="E37" s="110"/>
      <c r="F37" s="110"/>
      <c r="G37" s="111"/>
    </row>
    <row r="38" spans="1:7" x14ac:dyDescent="0.2">
      <c r="A38" s="110">
        <v>7</v>
      </c>
      <c r="B38" s="110"/>
      <c r="C38" s="110"/>
      <c r="D38" s="110"/>
      <c r="E38" s="110"/>
      <c r="F38" s="110"/>
      <c r="G38" s="111"/>
    </row>
    <row r="39" spans="1:7" x14ac:dyDescent="0.2">
      <c r="A39" s="110">
        <v>8</v>
      </c>
      <c r="B39" s="110"/>
      <c r="C39" s="110"/>
      <c r="D39" s="110"/>
      <c r="E39" s="110"/>
      <c r="F39" s="110"/>
      <c r="G39" s="111"/>
    </row>
    <row r="40" spans="1:7" x14ac:dyDescent="0.2">
      <c r="A40" s="110">
        <v>9</v>
      </c>
      <c r="B40" s="110"/>
      <c r="C40" s="110"/>
      <c r="D40" s="110"/>
      <c r="E40" s="110"/>
      <c r="F40" s="110"/>
      <c r="G40" s="111"/>
    </row>
    <row r="41" spans="1:7" x14ac:dyDescent="0.2">
      <c r="A41" s="110">
        <v>10</v>
      </c>
      <c r="B41" s="110"/>
      <c r="C41" s="110"/>
      <c r="D41" s="110"/>
      <c r="E41" s="110"/>
      <c r="F41" s="110"/>
      <c r="G41" s="111"/>
    </row>
    <row r="42" spans="1:7" ht="15" thickBot="1" x14ac:dyDescent="0.25">
      <c r="A42" s="898" t="s">
        <v>289</v>
      </c>
      <c r="B42" s="899"/>
      <c r="C42" s="899"/>
      <c r="D42" s="899"/>
      <c r="E42" s="899"/>
      <c r="F42" s="900"/>
      <c r="G42" s="114"/>
    </row>
    <row r="43" spans="1:7" ht="15" thickTop="1" x14ac:dyDescent="0.2">
      <c r="A43" s="110">
        <v>1</v>
      </c>
      <c r="B43" s="110"/>
      <c r="C43" s="110"/>
      <c r="D43" s="110"/>
      <c r="E43" s="110"/>
      <c r="F43" s="110"/>
      <c r="G43" s="111"/>
    </row>
    <row r="44" spans="1:7" x14ac:dyDescent="0.2">
      <c r="A44" s="110">
        <v>2</v>
      </c>
      <c r="B44" s="110"/>
      <c r="C44" s="110"/>
      <c r="D44" s="110"/>
      <c r="E44" s="110"/>
      <c r="F44" s="110"/>
      <c r="G44" s="111"/>
    </row>
    <row r="45" spans="1:7" x14ac:dyDescent="0.2">
      <c r="A45" s="110">
        <v>3</v>
      </c>
      <c r="B45" s="110"/>
      <c r="C45" s="110"/>
      <c r="D45" s="110"/>
      <c r="E45" s="110"/>
      <c r="F45" s="110"/>
      <c r="G45" s="111"/>
    </row>
    <row r="46" spans="1:7" x14ac:dyDescent="0.2">
      <c r="A46" s="110">
        <v>4</v>
      </c>
      <c r="B46" s="110"/>
      <c r="C46" s="110"/>
      <c r="D46" s="110"/>
      <c r="E46" s="110"/>
      <c r="F46" s="110"/>
      <c r="G46" s="111"/>
    </row>
    <row r="47" spans="1:7" x14ac:dyDescent="0.2">
      <c r="A47" s="110">
        <v>5</v>
      </c>
      <c r="B47" s="110"/>
      <c r="C47" s="110"/>
      <c r="D47" s="110"/>
      <c r="E47" s="110"/>
      <c r="F47" s="110"/>
      <c r="G47" s="111"/>
    </row>
    <row r="48" spans="1:7" x14ac:dyDescent="0.2">
      <c r="A48" s="110">
        <v>6</v>
      </c>
      <c r="B48" s="110"/>
      <c r="C48" s="110"/>
      <c r="D48" s="110"/>
      <c r="E48" s="110"/>
      <c r="F48" s="110"/>
      <c r="G48" s="111"/>
    </row>
    <row r="49" spans="1:7" x14ac:dyDescent="0.2">
      <c r="A49" s="110">
        <v>7</v>
      </c>
      <c r="B49" s="110"/>
      <c r="C49" s="110"/>
      <c r="D49" s="110"/>
      <c r="E49" s="110"/>
      <c r="F49" s="110"/>
      <c r="G49" s="111"/>
    </row>
    <row r="50" spans="1:7" x14ac:dyDescent="0.2">
      <c r="A50" s="110">
        <v>8</v>
      </c>
      <c r="B50" s="110"/>
      <c r="C50" s="110"/>
      <c r="D50" s="110"/>
      <c r="E50" s="110"/>
      <c r="F50" s="110"/>
      <c r="G50" s="111"/>
    </row>
    <row r="51" spans="1:7" x14ac:dyDescent="0.2">
      <c r="A51" s="110">
        <v>9</v>
      </c>
      <c r="B51" s="110"/>
      <c r="C51" s="110"/>
      <c r="D51" s="110"/>
      <c r="E51" s="110"/>
      <c r="F51" s="110"/>
      <c r="G51" s="111"/>
    </row>
    <row r="52" spans="1:7" x14ac:dyDescent="0.2">
      <c r="A52" s="110">
        <v>10</v>
      </c>
      <c r="B52" s="110"/>
      <c r="C52" s="110"/>
      <c r="D52" s="110"/>
      <c r="E52" s="110"/>
      <c r="F52" s="110"/>
      <c r="G52" s="111"/>
    </row>
    <row r="53" spans="1:7" ht="15" thickBot="1" x14ac:dyDescent="0.25">
      <c r="A53" s="898" t="s">
        <v>213</v>
      </c>
      <c r="B53" s="899"/>
      <c r="C53" s="899"/>
      <c r="D53" s="899"/>
      <c r="E53" s="899"/>
      <c r="F53" s="900"/>
      <c r="G53" s="114"/>
    </row>
    <row r="54" spans="1:7" ht="15" thickTop="1" x14ac:dyDescent="0.2">
      <c r="A54" s="110">
        <v>1</v>
      </c>
      <c r="B54" s="110"/>
      <c r="C54" s="110"/>
      <c r="D54" s="110"/>
      <c r="E54" s="110"/>
      <c r="F54" s="110"/>
      <c r="G54" s="111"/>
    </row>
    <row r="55" spans="1:7" x14ac:dyDescent="0.2">
      <c r="A55" s="110">
        <v>2</v>
      </c>
      <c r="B55" s="110"/>
      <c r="C55" s="110"/>
      <c r="D55" s="110"/>
      <c r="E55" s="110"/>
      <c r="F55" s="110"/>
      <c r="G55" s="111"/>
    </row>
    <row r="56" spans="1:7" x14ac:dyDescent="0.2">
      <c r="A56" s="110">
        <v>3</v>
      </c>
      <c r="B56" s="110"/>
      <c r="C56" s="110"/>
      <c r="D56" s="110"/>
      <c r="E56" s="110"/>
      <c r="F56" s="110"/>
      <c r="G56" s="111"/>
    </row>
    <row r="57" spans="1:7" x14ac:dyDescent="0.2">
      <c r="A57" s="110">
        <v>4</v>
      </c>
      <c r="B57" s="110"/>
      <c r="C57" s="110"/>
      <c r="D57" s="110"/>
      <c r="E57" s="110"/>
      <c r="F57" s="110"/>
      <c r="G57" s="111"/>
    </row>
    <row r="58" spans="1:7" x14ac:dyDescent="0.2">
      <c r="A58" s="110">
        <v>5</v>
      </c>
      <c r="B58" s="110"/>
      <c r="C58" s="110"/>
      <c r="D58" s="110"/>
      <c r="E58" s="110"/>
      <c r="F58" s="110"/>
      <c r="G58" s="111"/>
    </row>
    <row r="59" spans="1:7" x14ac:dyDescent="0.2">
      <c r="A59" s="110">
        <v>6</v>
      </c>
      <c r="B59" s="110"/>
      <c r="C59" s="110"/>
      <c r="D59" s="110"/>
      <c r="E59" s="110"/>
      <c r="F59" s="110"/>
      <c r="G59" s="111"/>
    </row>
    <row r="60" spans="1:7" x14ac:dyDescent="0.2">
      <c r="A60" s="110">
        <v>7</v>
      </c>
      <c r="B60" s="110"/>
      <c r="C60" s="110"/>
      <c r="D60" s="110"/>
      <c r="E60" s="110"/>
      <c r="F60" s="110"/>
      <c r="G60" s="111"/>
    </row>
    <row r="61" spans="1:7" x14ac:dyDescent="0.2">
      <c r="A61" s="110">
        <v>8</v>
      </c>
      <c r="B61" s="110"/>
      <c r="C61" s="110"/>
      <c r="D61" s="110"/>
      <c r="E61" s="110"/>
      <c r="F61" s="110"/>
      <c r="G61" s="111"/>
    </row>
    <row r="62" spans="1:7" x14ac:dyDescent="0.2">
      <c r="A62" s="110">
        <v>9</v>
      </c>
      <c r="B62" s="110"/>
      <c r="C62" s="110"/>
      <c r="D62" s="110"/>
      <c r="E62" s="110"/>
      <c r="F62" s="110"/>
      <c r="G62" s="111"/>
    </row>
    <row r="63" spans="1:7" x14ac:dyDescent="0.2">
      <c r="A63" s="110">
        <v>10</v>
      </c>
      <c r="B63" s="110"/>
      <c r="C63" s="110"/>
      <c r="D63" s="110"/>
      <c r="E63" s="110"/>
      <c r="F63" s="110"/>
      <c r="G63" s="111"/>
    </row>
    <row r="64" spans="1:7" ht="15" thickBot="1" x14ac:dyDescent="0.25">
      <c r="A64" s="898" t="s">
        <v>214</v>
      </c>
      <c r="B64" s="899"/>
      <c r="C64" s="899"/>
      <c r="D64" s="899"/>
      <c r="E64" s="899"/>
      <c r="F64" s="900"/>
      <c r="G64" s="114"/>
    </row>
    <row r="65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5">
    <mergeCell ref="A9:F9"/>
    <mergeCell ref="A31:F31"/>
    <mergeCell ref="A42:F42"/>
    <mergeCell ref="A53:F53"/>
    <mergeCell ref="A64:F64"/>
  </mergeCells>
  <pageMargins left="0.7" right="0.7" top="0.75" bottom="0.75" header="0.3" footer="0.3"/>
  <pageSetup orientation="portrait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67"/>
  <sheetViews>
    <sheetView zoomScaleNormal="100" workbookViewId="0">
      <pane ySplit="4" topLeftCell="A788" activePane="bottomLeft" state="frozen"/>
      <selection pane="bottomLeft" activeCell="N791" sqref="N791"/>
    </sheetView>
  </sheetViews>
  <sheetFormatPr defaultRowHeight="16.5" x14ac:dyDescent="0.25"/>
  <cols>
    <col min="1" max="1" width="8.85546875" style="246" bestFit="1" customWidth="1"/>
    <col min="2" max="2" width="10.7109375" style="338" customWidth="1"/>
    <col min="3" max="3" width="22.85546875" style="327" bestFit="1" customWidth="1"/>
    <col min="4" max="4" width="18.5703125" style="244" bestFit="1" customWidth="1"/>
    <col min="5" max="5" width="36.5703125" style="245" bestFit="1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5" bestFit="1" customWidth="1"/>
    <col min="11" max="11" width="13.42578125" style="525" bestFit="1" customWidth="1"/>
    <col min="12" max="13" width="14.85546875" style="332" bestFit="1" customWidth="1"/>
    <col min="14" max="14" width="9.140625" style="245"/>
    <col min="15" max="15" width="13.5703125" style="245" bestFit="1" customWidth="1"/>
    <col min="16" max="16" width="16" style="245" bestFit="1" customWidth="1"/>
    <col min="17" max="16384" width="9.140625" style="245"/>
  </cols>
  <sheetData>
    <row r="1" spans="1:13" ht="25.5" x14ac:dyDescent="0.25">
      <c r="A1" s="329" t="s">
        <v>292</v>
      </c>
    </row>
    <row r="2" spans="1:13" ht="20.25" x14ac:dyDescent="0.25">
      <c r="A2" s="330" t="s">
        <v>172</v>
      </c>
    </row>
    <row r="3" spans="1:13" ht="18" x14ac:dyDescent="0.25">
      <c r="A3" s="331" t="s">
        <v>399</v>
      </c>
    </row>
    <row r="4" spans="1:13" ht="27" x14ac:dyDescent="0.25">
      <c r="A4" s="540" t="s">
        <v>220</v>
      </c>
      <c r="B4" s="541" t="s">
        <v>368</v>
      </c>
      <c r="C4" s="542" t="s">
        <v>167</v>
      </c>
      <c r="D4" s="543" t="s">
        <v>176</v>
      </c>
      <c r="E4" s="543" t="s">
        <v>177</v>
      </c>
      <c r="F4" s="543" t="s">
        <v>193</v>
      </c>
      <c r="G4" s="543" t="s">
        <v>110</v>
      </c>
      <c r="H4" s="544" t="s">
        <v>225</v>
      </c>
      <c r="I4" s="544" t="s">
        <v>226</v>
      </c>
      <c r="J4" s="545" t="s">
        <v>111</v>
      </c>
      <c r="K4" s="545" t="s">
        <v>392</v>
      </c>
      <c r="L4" s="546" t="s">
        <v>38</v>
      </c>
      <c r="M4" s="546" t="s">
        <v>38</v>
      </c>
    </row>
    <row r="5" spans="1:13" ht="18" x14ac:dyDescent="0.25">
      <c r="A5" s="432" t="s">
        <v>98</v>
      </c>
      <c r="B5" s="432"/>
      <c r="C5" s="344"/>
      <c r="D5" s="343"/>
      <c r="E5" s="440"/>
      <c r="F5" s="440"/>
      <c r="G5" s="343"/>
      <c r="H5" s="345"/>
      <c r="I5" s="345"/>
      <c r="J5" s="526"/>
      <c r="K5" s="526"/>
      <c r="L5" s="612"/>
      <c r="M5" s="346"/>
    </row>
    <row r="6" spans="1:13" s="248" customFormat="1" x14ac:dyDescent="0.25">
      <c r="A6" s="264">
        <v>44953</v>
      </c>
      <c r="B6" s="433">
        <v>44940</v>
      </c>
      <c r="C6" s="328" t="s">
        <v>2621</v>
      </c>
      <c r="D6" s="263" t="s">
        <v>378</v>
      </c>
      <c r="E6" s="265" t="s">
        <v>379</v>
      </c>
      <c r="F6" s="262" t="s">
        <v>380</v>
      </c>
      <c r="G6" s="247" t="s">
        <v>2931</v>
      </c>
      <c r="H6" s="316">
        <v>5472000</v>
      </c>
      <c r="I6" s="317">
        <v>273600</v>
      </c>
      <c r="J6" s="527">
        <v>4683243</v>
      </c>
      <c r="K6" s="527">
        <v>515157</v>
      </c>
      <c r="L6" s="336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3">
        <v>44957</v>
      </c>
      <c r="C7" s="328" t="s">
        <v>2661</v>
      </c>
      <c r="D7" s="263" t="s">
        <v>378</v>
      </c>
      <c r="E7" s="265" t="s">
        <v>379</v>
      </c>
      <c r="F7" s="262" t="s">
        <v>380</v>
      </c>
      <c r="G7" s="247" t="s">
        <v>2932</v>
      </c>
      <c r="H7" s="316">
        <v>43665200</v>
      </c>
      <c r="I7" s="317">
        <v>2183260</v>
      </c>
      <c r="J7" s="527">
        <v>37371117</v>
      </c>
      <c r="K7" s="527">
        <v>4110823</v>
      </c>
      <c r="L7" s="336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3">
        <v>44928</v>
      </c>
      <c r="C8" s="328" t="s">
        <v>2591</v>
      </c>
      <c r="D8" s="263" t="s">
        <v>397</v>
      </c>
      <c r="E8" s="265" t="s">
        <v>7135</v>
      </c>
      <c r="F8" s="262" t="s">
        <v>396</v>
      </c>
      <c r="G8" s="247" t="s">
        <v>2930</v>
      </c>
      <c r="H8" s="316">
        <v>4285710</v>
      </c>
      <c r="I8" s="317">
        <v>0</v>
      </c>
      <c r="J8" s="527">
        <v>3861000</v>
      </c>
      <c r="K8" s="527">
        <v>424710</v>
      </c>
      <c r="L8" s="336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3">
        <v>44928</v>
      </c>
      <c r="C9" s="328" t="s">
        <v>2581</v>
      </c>
      <c r="D9" s="263" t="s">
        <v>297</v>
      </c>
      <c r="E9" s="265" t="s">
        <v>369</v>
      </c>
      <c r="F9" s="262" t="s">
        <v>395</v>
      </c>
      <c r="G9" s="247" t="s">
        <v>2688</v>
      </c>
      <c r="H9" s="316">
        <v>21815325</v>
      </c>
      <c r="I9" s="317">
        <v>323190</v>
      </c>
      <c r="J9" s="527">
        <v>19362283</v>
      </c>
      <c r="K9" s="527">
        <v>2129851</v>
      </c>
      <c r="L9" s="336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3">
        <v>44564</v>
      </c>
      <c r="C10" s="328" t="s">
        <v>2582</v>
      </c>
      <c r="D10" s="263" t="s">
        <v>297</v>
      </c>
      <c r="E10" s="265" t="s">
        <v>369</v>
      </c>
      <c r="F10" s="262" t="s">
        <v>395</v>
      </c>
      <c r="G10" s="247" t="s">
        <v>2689</v>
      </c>
      <c r="H10" s="316">
        <v>23100437.5</v>
      </c>
      <c r="I10" s="317">
        <v>0</v>
      </c>
      <c r="J10" s="527">
        <v>20811204</v>
      </c>
      <c r="K10" s="527">
        <v>2289232</v>
      </c>
      <c r="L10" s="336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3">
        <v>44930</v>
      </c>
      <c r="C11" s="328" t="s">
        <v>2583</v>
      </c>
      <c r="D11" s="263" t="s">
        <v>297</v>
      </c>
      <c r="E11" s="265" t="s">
        <v>369</v>
      </c>
      <c r="F11" s="262" t="s">
        <v>395</v>
      </c>
      <c r="G11" s="247" t="s">
        <v>2690</v>
      </c>
      <c r="H11" s="316">
        <v>6363218.75</v>
      </c>
      <c r="I11" s="317">
        <v>0</v>
      </c>
      <c r="J11" s="527">
        <v>5732629</v>
      </c>
      <c r="K11" s="527">
        <v>630589</v>
      </c>
      <c r="L11" s="336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3">
        <v>44931</v>
      </c>
      <c r="C12" s="328" t="s">
        <v>2584</v>
      </c>
      <c r="D12" s="263" t="s">
        <v>297</v>
      </c>
      <c r="E12" s="265" t="s">
        <v>369</v>
      </c>
      <c r="F12" s="262" t="s">
        <v>395</v>
      </c>
      <c r="G12" s="247" t="s">
        <v>2691</v>
      </c>
      <c r="H12" s="316">
        <v>12360540.25</v>
      </c>
      <c r="I12" s="317">
        <v>96444</v>
      </c>
      <c r="J12" s="527">
        <v>11048735</v>
      </c>
      <c r="K12" s="527">
        <v>1215360</v>
      </c>
      <c r="L12" s="336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3">
        <v>44932</v>
      </c>
      <c r="C13" s="328" t="s">
        <v>2585</v>
      </c>
      <c r="D13" s="263" t="s">
        <v>297</v>
      </c>
      <c r="E13" s="265" t="s">
        <v>369</v>
      </c>
      <c r="F13" s="262" t="s">
        <v>395</v>
      </c>
      <c r="G13" s="247" t="s">
        <v>2692</v>
      </c>
      <c r="H13" s="316">
        <v>19734290.625</v>
      </c>
      <c r="I13" s="317">
        <v>0</v>
      </c>
      <c r="J13" s="527">
        <v>17778640</v>
      </c>
      <c r="K13" s="527">
        <v>1955650</v>
      </c>
      <c r="L13" s="336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3">
        <v>44932</v>
      </c>
      <c r="C14" s="328" t="s">
        <v>2586</v>
      </c>
      <c r="D14" s="263" t="s">
        <v>297</v>
      </c>
      <c r="E14" s="265" t="s">
        <v>369</v>
      </c>
      <c r="F14" s="262" t="s">
        <v>395</v>
      </c>
      <c r="G14" s="247" t="s">
        <v>2693</v>
      </c>
      <c r="H14" s="316">
        <v>9293484.25</v>
      </c>
      <c r="I14" s="317">
        <v>69768</v>
      </c>
      <c r="J14" s="527">
        <v>8309654</v>
      </c>
      <c r="K14" s="527">
        <v>914061</v>
      </c>
      <c r="L14" s="336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3">
        <v>44932</v>
      </c>
      <c r="C15" s="328" t="s">
        <v>2587</v>
      </c>
      <c r="D15" s="263" t="s">
        <v>297</v>
      </c>
      <c r="E15" s="265" t="s">
        <v>369</v>
      </c>
      <c r="F15" s="262" t="s">
        <v>395</v>
      </c>
      <c r="G15" s="247" t="s">
        <v>2694</v>
      </c>
      <c r="H15" s="316">
        <v>20117613.25</v>
      </c>
      <c r="I15" s="317">
        <v>43092</v>
      </c>
      <c r="J15" s="527">
        <v>18085154</v>
      </c>
      <c r="K15" s="527">
        <v>1989366</v>
      </c>
      <c r="L15" s="336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3">
        <v>44933</v>
      </c>
      <c r="C16" s="328" t="s">
        <v>2589</v>
      </c>
      <c r="D16" s="263" t="s">
        <v>297</v>
      </c>
      <c r="E16" s="265" t="s">
        <v>369</v>
      </c>
      <c r="F16" s="262" t="s">
        <v>395</v>
      </c>
      <c r="G16" s="247" t="s">
        <v>2695</v>
      </c>
      <c r="H16" s="316">
        <v>57676281.25</v>
      </c>
      <c r="I16" s="317">
        <v>0</v>
      </c>
      <c r="J16" s="527">
        <v>51960613</v>
      </c>
      <c r="K16" s="527">
        <v>5715667</v>
      </c>
      <c r="L16" s="336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3">
        <v>44933</v>
      </c>
      <c r="C17" s="328" t="s">
        <v>2590</v>
      </c>
      <c r="D17" s="263" t="s">
        <v>297</v>
      </c>
      <c r="E17" s="265" t="s">
        <v>369</v>
      </c>
      <c r="F17" s="262" t="s">
        <v>395</v>
      </c>
      <c r="G17" s="247" t="s">
        <v>2696</v>
      </c>
      <c r="H17" s="316">
        <v>19618830</v>
      </c>
      <c r="I17" s="317">
        <v>0</v>
      </c>
      <c r="J17" s="527">
        <v>17674621</v>
      </c>
      <c r="K17" s="527">
        <v>1944208</v>
      </c>
      <c r="L17" s="336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3">
        <v>44933</v>
      </c>
      <c r="C18" s="328" t="s">
        <v>2588</v>
      </c>
      <c r="D18" s="263" t="s">
        <v>297</v>
      </c>
      <c r="E18" s="265" t="s">
        <v>369</v>
      </c>
      <c r="F18" s="262" t="s">
        <v>395</v>
      </c>
      <c r="G18" s="247" t="s">
        <v>2697</v>
      </c>
      <c r="H18" s="316">
        <v>31870125</v>
      </c>
      <c r="I18" s="317">
        <v>0</v>
      </c>
      <c r="J18" s="527">
        <v>28711824</v>
      </c>
      <c r="K18" s="527">
        <v>3158300</v>
      </c>
      <c r="L18" s="336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3">
        <v>44937</v>
      </c>
      <c r="C19" s="328" t="s">
        <v>2593</v>
      </c>
      <c r="D19" s="263" t="s">
        <v>297</v>
      </c>
      <c r="E19" s="265" t="s">
        <v>369</v>
      </c>
      <c r="F19" s="262" t="s">
        <v>395</v>
      </c>
      <c r="G19" s="247" t="s">
        <v>2698</v>
      </c>
      <c r="H19" s="316">
        <v>28728000</v>
      </c>
      <c r="I19" s="317">
        <v>0</v>
      </c>
      <c r="J19" s="527">
        <v>25881081</v>
      </c>
      <c r="K19" s="527">
        <v>2846918</v>
      </c>
      <c r="L19" s="336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3">
        <v>44938</v>
      </c>
      <c r="C20" s="328" t="s">
        <v>2595</v>
      </c>
      <c r="D20" s="263" t="s">
        <v>297</v>
      </c>
      <c r="E20" s="265" t="s">
        <v>369</v>
      </c>
      <c r="F20" s="262" t="s">
        <v>395</v>
      </c>
      <c r="G20" s="247" t="s">
        <v>2699</v>
      </c>
      <c r="H20" s="316">
        <v>19800956.875</v>
      </c>
      <c r="I20" s="317">
        <v>0</v>
      </c>
      <c r="J20" s="527">
        <v>17838699</v>
      </c>
      <c r="K20" s="527">
        <v>1962256</v>
      </c>
      <c r="L20" s="336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3">
        <v>44938</v>
      </c>
      <c r="C21" s="328" t="s">
        <v>2596</v>
      </c>
      <c r="D21" s="263" t="s">
        <v>297</v>
      </c>
      <c r="E21" s="265" t="s">
        <v>369</v>
      </c>
      <c r="F21" s="262" t="s">
        <v>395</v>
      </c>
      <c r="G21" s="247" t="s">
        <v>2700</v>
      </c>
      <c r="H21" s="316">
        <v>6092730</v>
      </c>
      <c r="I21" s="317">
        <v>0</v>
      </c>
      <c r="J21" s="527">
        <v>5488945</v>
      </c>
      <c r="K21" s="527">
        <v>603784</v>
      </c>
      <c r="L21" s="336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3">
        <v>44938</v>
      </c>
      <c r="C22" s="328" t="s">
        <v>2597</v>
      </c>
      <c r="D22" s="263" t="s">
        <v>297</v>
      </c>
      <c r="E22" s="265" t="s">
        <v>369</v>
      </c>
      <c r="F22" s="262" t="s">
        <v>395</v>
      </c>
      <c r="G22" s="247" t="s">
        <v>2701</v>
      </c>
      <c r="H22" s="316">
        <v>2371390</v>
      </c>
      <c r="I22" s="317">
        <v>0</v>
      </c>
      <c r="J22" s="527">
        <v>2136387</v>
      </c>
      <c r="K22" s="527">
        <v>235002</v>
      </c>
      <c r="L22" s="336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3">
        <v>44939</v>
      </c>
      <c r="C23" s="328" t="s">
        <v>2604</v>
      </c>
      <c r="D23" s="263" t="s">
        <v>297</v>
      </c>
      <c r="E23" s="265" t="s">
        <v>369</v>
      </c>
      <c r="F23" s="262" t="s">
        <v>395</v>
      </c>
      <c r="G23" s="247" t="s">
        <v>2702</v>
      </c>
      <c r="H23" s="316">
        <v>25691776.25</v>
      </c>
      <c r="I23" s="317">
        <v>0</v>
      </c>
      <c r="J23" s="527">
        <v>23145744</v>
      </c>
      <c r="K23" s="527">
        <v>2546031</v>
      </c>
      <c r="L23" s="336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3">
        <v>44939</v>
      </c>
      <c r="C24" s="328" t="s">
        <v>2605</v>
      </c>
      <c r="D24" s="263" t="s">
        <v>297</v>
      </c>
      <c r="E24" s="265" t="s">
        <v>369</v>
      </c>
      <c r="F24" s="262" t="s">
        <v>395</v>
      </c>
      <c r="G24" s="247" t="s">
        <v>2703</v>
      </c>
      <c r="H24" s="316">
        <v>14757181.25</v>
      </c>
      <c r="I24" s="317">
        <v>0</v>
      </c>
      <c r="J24" s="527">
        <v>13294757</v>
      </c>
      <c r="K24" s="527">
        <v>1462423</v>
      </c>
      <c r="L24" s="336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3">
        <v>44939</v>
      </c>
      <c r="C25" s="328" t="s">
        <v>2606</v>
      </c>
      <c r="D25" s="263" t="s">
        <v>297</v>
      </c>
      <c r="E25" s="265" t="s">
        <v>369</v>
      </c>
      <c r="F25" s="262" t="s">
        <v>395</v>
      </c>
      <c r="G25" s="247" t="s">
        <v>2704</v>
      </c>
      <c r="H25" s="316">
        <v>8779995</v>
      </c>
      <c r="I25" s="317">
        <v>0</v>
      </c>
      <c r="J25" s="527">
        <v>7909905</v>
      </c>
      <c r="K25" s="527">
        <v>870089</v>
      </c>
      <c r="L25" s="336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3">
        <v>44940</v>
      </c>
      <c r="C26" s="328" t="s">
        <v>2607</v>
      </c>
      <c r="D26" s="263" t="s">
        <v>297</v>
      </c>
      <c r="E26" s="265" t="s">
        <v>369</v>
      </c>
      <c r="F26" s="262" t="s">
        <v>395</v>
      </c>
      <c r="G26" s="247" t="s">
        <v>2705</v>
      </c>
      <c r="H26" s="316">
        <v>19048260</v>
      </c>
      <c r="I26" s="317">
        <v>0</v>
      </c>
      <c r="J26" s="527">
        <v>17160594</v>
      </c>
      <c r="K26" s="527">
        <v>1887665</v>
      </c>
      <c r="L26" s="336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3">
        <v>44940</v>
      </c>
      <c r="C27" s="328" t="s">
        <v>2608</v>
      </c>
      <c r="D27" s="263" t="s">
        <v>297</v>
      </c>
      <c r="E27" s="265" t="s">
        <v>369</v>
      </c>
      <c r="F27" s="262" t="s">
        <v>395</v>
      </c>
      <c r="G27" s="247" t="s">
        <v>2706</v>
      </c>
      <c r="H27" s="316">
        <v>17417205</v>
      </c>
      <c r="I27" s="317">
        <v>120555</v>
      </c>
      <c r="J27" s="527">
        <v>15582567</v>
      </c>
      <c r="K27" s="527">
        <v>1714082</v>
      </c>
      <c r="L27" s="336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3">
        <v>44943</v>
      </c>
      <c r="C28" s="328" t="s">
        <v>2609</v>
      </c>
      <c r="D28" s="263" t="s">
        <v>297</v>
      </c>
      <c r="E28" s="265" t="s">
        <v>369</v>
      </c>
      <c r="F28" s="262" t="s">
        <v>395</v>
      </c>
      <c r="G28" s="247" t="s">
        <v>2732</v>
      </c>
      <c r="H28" s="316">
        <v>24737667.5</v>
      </c>
      <c r="I28" s="317">
        <v>0</v>
      </c>
      <c r="J28" s="527">
        <v>22286186</v>
      </c>
      <c r="K28" s="527">
        <v>2451480</v>
      </c>
      <c r="L28" s="336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3">
        <v>44943</v>
      </c>
      <c r="C29" s="328" t="s">
        <v>2610</v>
      </c>
      <c r="D29" s="263" t="s">
        <v>297</v>
      </c>
      <c r="E29" s="265" t="s">
        <v>369</v>
      </c>
      <c r="F29" s="262" t="s">
        <v>395</v>
      </c>
      <c r="G29" s="247" t="s">
        <v>2733</v>
      </c>
      <c r="H29" s="316">
        <v>11906825</v>
      </c>
      <c r="I29" s="317">
        <v>0</v>
      </c>
      <c r="J29" s="527">
        <v>10726869</v>
      </c>
      <c r="K29" s="527">
        <v>1179955</v>
      </c>
      <c r="L29" s="336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3">
        <v>44943</v>
      </c>
      <c r="C30" s="328" t="s">
        <v>2611</v>
      </c>
      <c r="D30" s="263" t="s">
        <v>297</v>
      </c>
      <c r="E30" s="265" t="s">
        <v>369</v>
      </c>
      <c r="F30" s="262" t="s">
        <v>395</v>
      </c>
      <c r="G30" s="247" t="s">
        <v>2734</v>
      </c>
      <c r="H30" s="316">
        <v>27834240</v>
      </c>
      <c r="I30" s="317">
        <v>375060</v>
      </c>
      <c r="J30" s="527">
        <v>24738000</v>
      </c>
      <c r="K30" s="527">
        <v>2721180</v>
      </c>
      <c r="L30" s="336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3">
        <v>44944</v>
      </c>
      <c r="C31" s="328" t="s">
        <v>2613</v>
      </c>
      <c r="D31" s="263" t="s">
        <v>297</v>
      </c>
      <c r="E31" s="265" t="s">
        <v>369</v>
      </c>
      <c r="F31" s="262" t="s">
        <v>395</v>
      </c>
      <c r="G31" s="247" t="s">
        <v>2735</v>
      </c>
      <c r="H31" s="316">
        <v>35647914</v>
      </c>
      <c r="I31" s="317">
        <v>458109</v>
      </c>
      <c r="J31" s="527">
        <v>31702527</v>
      </c>
      <c r="K31" s="527">
        <v>3487277</v>
      </c>
      <c r="L31" s="336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3">
        <v>44946</v>
      </c>
      <c r="C32" s="328" t="s">
        <v>2614</v>
      </c>
      <c r="D32" s="263" t="s">
        <v>297</v>
      </c>
      <c r="E32" s="265" t="s">
        <v>369</v>
      </c>
      <c r="F32" s="262" t="s">
        <v>395</v>
      </c>
      <c r="G32" s="247" t="s">
        <v>2736</v>
      </c>
      <c r="H32" s="316">
        <v>26070660</v>
      </c>
      <c r="I32" s="317">
        <v>0</v>
      </c>
      <c r="J32" s="527">
        <v>23487081</v>
      </c>
      <c r="K32" s="527">
        <v>2583578</v>
      </c>
      <c r="L32" s="336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3">
        <v>44946</v>
      </c>
      <c r="C33" s="328" t="s">
        <v>2615</v>
      </c>
      <c r="D33" s="263" t="s">
        <v>297</v>
      </c>
      <c r="E33" s="265" t="s">
        <v>369</v>
      </c>
      <c r="F33" s="262" t="s">
        <v>395</v>
      </c>
      <c r="G33" s="247" t="s">
        <v>2737</v>
      </c>
      <c r="H33" s="316">
        <v>14591772</v>
      </c>
      <c r="I33" s="317">
        <v>48222</v>
      </c>
      <c r="J33" s="527">
        <v>13102297</v>
      </c>
      <c r="K33" s="527">
        <v>1441252</v>
      </c>
      <c r="L33" s="336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3">
        <v>44946</v>
      </c>
      <c r="C34" s="328" t="s">
        <v>2616</v>
      </c>
      <c r="D34" s="263" t="s">
        <v>297</v>
      </c>
      <c r="E34" s="265" t="s">
        <v>369</v>
      </c>
      <c r="F34" s="262" t="s">
        <v>395</v>
      </c>
      <c r="G34" s="247" t="s">
        <v>2738</v>
      </c>
      <c r="H34" s="316">
        <v>9935100</v>
      </c>
      <c r="I34" s="317">
        <v>0</v>
      </c>
      <c r="J34" s="527">
        <v>8950540</v>
      </c>
      <c r="K34" s="527">
        <v>984559</v>
      </c>
      <c r="L34" s="336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3">
        <v>44947</v>
      </c>
      <c r="C35" s="328" t="s">
        <v>2668</v>
      </c>
      <c r="D35" s="263" t="s">
        <v>297</v>
      </c>
      <c r="E35" s="265" t="s">
        <v>369</v>
      </c>
      <c r="F35" s="262" t="s">
        <v>395</v>
      </c>
      <c r="G35" s="247" t="s">
        <v>2739</v>
      </c>
      <c r="H35" s="316">
        <v>11807920.5</v>
      </c>
      <c r="I35" s="317">
        <v>72333</v>
      </c>
      <c r="J35" s="527">
        <v>10572601</v>
      </c>
      <c r="K35" s="527">
        <v>1162986</v>
      </c>
      <c r="L35" s="336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3">
        <v>44951</v>
      </c>
      <c r="C36" s="328" t="s">
        <v>2620</v>
      </c>
      <c r="D36" s="263" t="s">
        <v>297</v>
      </c>
      <c r="E36" s="265" t="s">
        <v>369</v>
      </c>
      <c r="F36" s="262" t="s">
        <v>395</v>
      </c>
      <c r="G36" s="247" t="s">
        <v>2740</v>
      </c>
      <c r="H36" s="316">
        <v>20827800</v>
      </c>
      <c r="I36" s="317">
        <v>0</v>
      </c>
      <c r="J36" s="527">
        <v>18763783</v>
      </c>
      <c r="K36" s="527">
        <v>2064016</v>
      </c>
      <c r="L36" s="336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3">
        <v>44953</v>
      </c>
      <c r="C37" s="328" t="s">
        <v>2660</v>
      </c>
      <c r="D37" s="263" t="s">
        <v>297</v>
      </c>
      <c r="E37" s="265" t="s">
        <v>369</v>
      </c>
      <c r="F37" s="262" t="s">
        <v>395</v>
      </c>
      <c r="G37" s="247" t="s">
        <v>2741</v>
      </c>
      <c r="H37" s="316">
        <v>20269532.5</v>
      </c>
      <c r="I37" s="317">
        <v>0</v>
      </c>
      <c r="J37" s="527">
        <v>17732434</v>
      </c>
      <c r="K37" s="527">
        <v>1950567</v>
      </c>
      <c r="L37" s="336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3">
        <v>44956</v>
      </c>
      <c r="C38" s="328" t="s">
        <v>2663</v>
      </c>
      <c r="D38" s="263" t="s">
        <v>297</v>
      </c>
      <c r="E38" s="265" t="s">
        <v>369</v>
      </c>
      <c r="F38" s="262" t="s">
        <v>395</v>
      </c>
      <c r="G38" s="247" t="s">
        <v>2742</v>
      </c>
      <c r="H38" s="316">
        <v>7361550</v>
      </c>
      <c r="I38" s="317">
        <v>0</v>
      </c>
      <c r="J38" s="527">
        <v>6632027</v>
      </c>
      <c r="K38" s="527">
        <v>729522</v>
      </c>
      <c r="L38" s="336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3">
        <v>44957</v>
      </c>
      <c r="C39" s="328" t="s">
        <v>2664</v>
      </c>
      <c r="D39" s="263" t="s">
        <v>297</v>
      </c>
      <c r="E39" s="265" t="s">
        <v>369</v>
      </c>
      <c r="F39" s="262" t="s">
        <v>395</v>
      </c>
      <c r="G39" s="247" t="s">
        <v>2743</v>
      </c>
      <c r="H39" s="316">
        <v>10975559</v>
      </c>
      <c r="I39" s="317">
        <v>0</v>
      </c>
      <c r="J39" s="527">
        <v>9887890</v>
      </c>
      <c r="K39" s="527">
        <v>1087668</v>
      </c>
      <c r="L39" s="336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3">
        <v>44957</v>
      </c>
      <c r="C40" s="328" t="s">
        <v>2665</v>
      </c>
      <c r="D40" s="263" t="s">
        <v>297</v>
      </c>
      <c r="E40" s="265" t="s">
        <v>369</v>
      </c>
      <c r="F40" s="262" t="s">
        <v>395</v>
      </c>
      <c r="G40" s="247" t="s">
        <v>2744</v>
      </c>
      <c r="H40" s="316">
        <v>4341120</v>
      </c>
      <c r="I40" s="317">
        <v>0</v>
      </c>
      <c r="J40" s="527">
        <v>3910918</v>
      </c>
      <c r="K40" s="527">
        <v>430201</v>
      </c>
      <c r="L40" s="336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3">
        <v>44945</v>
      </c>
      <c r="C41" s="328" t="s">
        <v>2617</v>
      </c>
      <c r="D41" s="524" t="s">
        <v>302</v>
      </c>
      <c r="E41" s="523" t="s">
        <v>370</v>
      </c>
      <c r="F41" s="522" t="s">
        <v>371</v>
      </c>
      <c r="G41" s="247" t="s">
        <v>2632</v>
      </c>
      <c r="H41" s="316">
        <f>3757099.5*1.11</f>
        <v>4170380.4450000003</v>
      </c>
      <c r="I41" s="317">
        <f>112712.84*1.11</f>
        <v>125111.25240000001</v>
      </c>
      <c r="J41" s="527">
        <v>3644382</v>
      </c>
      <c r="K41" s="527">
        <v>400881</v>
      </c>
      <c r="L41" s="336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3">
        <v>44932</v>
      </c>
      <c r="C42" s="328" t="s">
        <v>2578</v>
      </c>
      <c r="D42" s="263" t="s">
        <v>299</v>
      </c>
      <c r="E42" s="265" t="s">
        <v>372</v>
      </c>
      <c r="F42" s="262" t="s">
        <v>6274</v>
      </c>
      <c r="G42" s="247" t="s">
        <v>2715</v>
      </c>
      <c r="H42" s="316">
        <v>23688000</v>
      </c>
      <c r="I42" s="317">
        <v>0</v>
      </c>
      <c r="J42" s="527">
        <v>21340540</v>
      </c>
      <c r="K42" s="527">
        <v>2347459</v>
      </c>
      <c r="L42" s="336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3">
        <v>44935</v>
      </c>
      <c r="C43" s="328" t="s">
        <v>2579</v>
      </c>
      <c r="D43" s="263" t="s">
        <v>299</v>
      </c>
      <c r="E43" s="265" t="s">
        <v>372</v>
      </c>
      <c r="F43" s="262" t="s">
        <v>6274</v>
      </c>
      <c r="G43" s="247" t="s">
        <v>2716</v>
      </c>
      <c r="H43" s="316">
        <v>32278750</v>
      </c>
      <c r="I43" s="317">
        <v>0</v>
      </c>
      <c r="J43" s="527">
        <v>29079954</v>
      </c>
      <c r="K43" s="527">
        <v>3198795</v>
      </c>
      <c r="L43" s="336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3">
        <v>44935</v>
      </c>
      <c r="C44" s="328" t="s">
        <v>2580</v>
      </c>
      <c r="D44" s="263" t="s">
        <v>299</v>
      </c>
      <c r="E44" s="265" t="s">
        <v>372</v>
      </c>
      <c r="F44" s="262" t="s">
        <v>6274</v>
      </c>
      <c r="G44" s="247" t="s">
        <v>2717</v>
      </c>
      <c r="H44" s="316">
        <v>3940125</v>
      </c>
      <c r="I44" s="317">
        <v>0</v>
      </c>
      <c r="J44" s="527">
        <v>3549662</v>
      </c>
      <c r="K44" s="527">
        <v>390462</v>
      </c>
      <c r="L44" s="336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3">
        <v>44939</v>
      </c>
      <c r="C45" s="328" t="s">
        <v>2602</v>
      </c>
      <c r="D45" s="263" t="s">
        <v>299</v>
      </c>
      <c r="E45" s="265" t="s">
        <v>372</v>
      </c>
      <c r="F45" s="262" t="s">
        <v>6274</v>
      </c>
      <c r="G45" s="247" t="s">
        <v>2718</v>
      </c>
      <c r="H45" s="316">
        <v>19866875</v>
      </c>
      <c r="I45" s="317">
        <v>0</v>
      </c>
      <c r="J45" s="527">
        <v>17898085</v>
      </c>
      <c r="K45" s="527">
        <v>1968789</v>
      </c>
      <c r="L45" s="336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3">
        <v>44943</v>
      </c>
      <c r="C46" s="328" t="s">
        <v>2603</v>
      </c>
      <c r="D46" s="263" t="s">
        <v>299</v>
      </c>
      <c r="E46" s="265" t="s">
        <v>372</v>
      </c>
      <c r="F46" s="262" t="s">
        <v>6274</v>
      </c>
      <c r="G46" s="247" t="s">
        <v>2719</v>
      </c>
      <c r="H46" s="316">
        <v>4688250</v>
      </c>
      <c r="I46" s="317">
        <v>0</v>
      </c>
      <c r="J46" s="527">
        <v>4223648</v>
      </c>
      <c r="K46" s="527">
        <v>464601</v>
      </c>
      <c r="L46" s="336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3">
        <v>44928</v>
      </c>
      <c r="C47" s="328" t="s">
        <v>2561</v>
      </c>
      <c r="D47" s="263" t="s">
        <v>376</v>
      </c>
      <c r="E47" s="265" t="s">
        <v>377</v>
      </c>
      <c r="F47" s="262" t="s">
        <v>4316</v>
      </c>
      <c r="G47" s="247" t="s">
        <v>2633</v>
      </c>
      <c r="H47" s="316">
        <v>38728800</v>
      </c>
      <c r="I47" s="317">
        <v>6583896</v>
      </c>
      <c r="J47" s="527">
        <v>28959372</v>
      </c>
      <c r="K47" s="527">
        <v>3185531</v>
      </c>
      <c r="L47" s="336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3">
        <v>44928</v>
      </c>
      <c r="C48" s="328" t="s">
        <v>2562</v>
      </c>
      <c r="D48" s="263" t="s">
        <v>376</v>
      </c>
      <c r="E48" s="265" t="s">
        <v>377</v>
      </c>
      <c r="F48" s="262" t="s">
        <v>4316</v>
      </c>
      <c r="G48" s="247" t="s">
        <v>2634</v>
      </c>
      <c r="H48" s="316">
        <v>64896000</v>
      </c>
      <c r="I48" s="317">
        <v>11032320</v>
      </c>
      <c r="J48" s="527">
        <v>48525837</v>
      </c>
      <c r="K48" s="527">
        <v>5337842</v>
      </c>
      <c r="L48" s="336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3">
        <v>44929</v>
      </c>
      <c r="C49" s="328" t="s">
        <v>2563</v>
      </c>
      <c r="D49" s="263" t="s">
        <v>376</v>
      </c>
      <c r="E49" s="265" t="s">
        <v>377</v>
      </c>
      <c r="F49" s="262" t="s">
        <v>4316</v>
      </c>
      <c r="G49" s="247" t="s">
        <v>2635</v>
      </c>
      <c r="H49" s="316">
        <v>9300000</v>
      </c>
      <c r="I49" s="317">
        <v>1581000</v>
      </c>
      <c r="J49" s="527">
        <v>6954054</v>
      </c>
      <c r="K49" s="527">
        <v>764945</v>
      </c>
      <c r="L49" s="336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3">
        <v>44930</v>
      </c>
      <c r="C50" s="328" t="s">
        <v>2564</v>
      </c>
      <c r="D50" s="263" t="s">
        <v>376</v>
      </c>
      <c r="E50" s="265" t="s">
        <v>377</v>
      </c>
      <c r="F50" s="262" t="s">
        <v>4316</v>
      </c>
      <c r="G50" s="247" t="s">
        <v>2636</v>
      </c>
      <c r="H50" s="316">
        <v>46848000</v>
      </c>
      <c r="I50" s="317">
        <v>7964160</v>
      </c>
      <c r="J50" s="527">
        <v>35030486</v>
      </c>
      <c r="K50" s="527">
        <v>3853353</v>
      </c>
      <c r="L50" s="336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3">
        <v>44930</v>
      </c>
      <c r="C51" s="328" t="s">
        <v>2565</v>
      </c>
      <c r="D51" s="263" t="s">
        <v>376</v>
      </c>
      <c r="E51" s="265" t="s">
        <v>377</v>
      </c>
      <c r="F51" s="262" t="s">
        <v>4316</v>
      </c>
      <c r="G51" s="247" t="s">
        <v>2637</v>
      </c>
      <c r="H51" s="316">
        <v>38163200</v>
      </c>
      <c r="I51" s="317">
        <v>6487744</v>
      </c>
      <c r="J51" s="527">
        <v>28536446</v>
      </c>
      <c r="K51" s="527">
        <v>3139009</v>
      </c>
      <c r="L51" s="336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3">
        <v>44931</v>
      </c>
      <c r="C52" s="328" t="s">
        <v>2566</v>
      </c>
      <c r="D52" s="263" t="s">
        <v>376</v>
      </c>
      <c r="E52" s="265" t="s">
        <v>377</v>
      </c>
      <c r="F52" s="262" t="s">
        <v>4316</v>
      </c>
      <c r="G52" s="247" t="s">
        <v>2638</v>
      </c>
      <c r="H52" s="316">
        <v>25041600</v>
      </c>
      <c r="I52" s="317">
        <v>4257072</v>
      </c>
      <c r="J52" s="527">
        <v>18724800</v>
      </c>
      <c r="K52" s="527">
        <v>2059728</v>
      </c>
      <c r="L52" s="336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3">
        <v>44931</v>
      </c>
      <c r="C53" s="328" t="s">
        <v>2567</v>
      </c>
      <c r="D53" s="263" t="s">
        <v>376</v>
      </c>
      <c r="E53" s="265" t="s">
        <v>377</v>
      </c>
      <c r="F53" s="262" t="s">
        <v>4316</v>
      </c>
      <c r="G53" s="247" t="s">
        <v>2639</v>
      </c>
      <c r="H53" s="316">
        <v>10854000</v>
      </c>
      <c r="I53" s="317">
        <v>1845180.0000000002</v>
      </c>
      <c r="J53" s="527">
        <v>8116054</v>
      </c>
      <c r="K53" s="527">
        <v>892765</v>
      </c>
      <c r="L53" s="336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3">
        <v>44932</v>
      </c>
      <c r="C54" s="328" t="s">
        <v>2568</v>
      </c>
      <c r="D54" s="263" t="s">
        <v>376</v>
      </c>
      <c r="E54" s="265" t="s">
        <v>377</v>
      </c>
      <c r="F54" s="262" t="s">
        <v>4316</v>
      </c>
      <c r="G54" s="247" t="s">
        <v>2640</v>
      </c>
      <c r="H54" s="316">
        <v>49284000</v>
      </c>
      <c r="I54" s="317">
        <v>8378280</v>
      </c>
      <c r="J54" s="527">
        <v>36852000</v>
      </c>
      <c r="K54" s="527">
        <v>4053720</v>
      </c>
      <c r="L54" s="336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3">
        <v>44932</v>
      </c>
      <c r="C55" s="328" t="s">
        <v>2569</v>
      </c>
      <c r="D55" s="263" t="s">
        <v>376</v>
      </c>
      <c r="E55" s="265" t="s">
        <v>377</v>
      </c>
      <c r="F55" s="262" t="s">
        <v>4316</v>
      </c>
      <c r="G55" s="247" t="s">
        <v>2641</v>
      </c>
      <c r="H55" s="316">
        <v>29440800</v>
      </c>
      <c r="I55" s="317">
        <v>5004936.0000000009</v>
      </c>
      <c r="J55" s="527">
        <v>22014291</v>
      </c>
      <c r="K55" s="527">
        <v>2421572</v>
      </c>
      <c r="L55" s="336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3">
        <v>44933</v>
      </c>
      <c r="C56" s="328" t="s">
        <v>2570</v>
      </c>
      <c r="D56" s="263" t="s">
        <v>376</v>
      </c>
      <c r="E56" s="265" t="s">
        <v>377</v>
      </c>
      <c r="F56" s="262" t="s">
        <v>4316</v>
      </c>
      <c r="G56" s="247" t="s">
        <v>2642</v>
      </c>
      <c r="H56" s="316">
        <v>68415200</v>
      </c>
      <c r="I56" s="317">
        <v>11630584</v>
      </c>
      <c r="J56" s="527">
        <v>51157311</v>
      </c>
      <c r="K56" s="527">
        <v>5627304</v>
      </c>
      <c r="L56" s="336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3">
        <v>44933</v>
      </c>
      <c r="C57" s="328" t="s">
        <v>2571</v>
      </c>
      <c r="D57" s="263" t="s">
        <v>376</v>
      </c>
      <c r="E57" s="265" t="s">
        <v>377</v>
      </c>
      <c r="F57" s="262" t="s">
        <v>4316</v>
      </c>
      <c r="G57" s="247" t="s">
        <v>2643</v>
      </c>
      <c r="H57" s="316">
        <v>18692200</v>
      </c>
      <c r="I57" s="317">
        <v>3177674</v>
      </c>
      <c r="J57" s="527">
        <v>13977050</v>
      </c>
      <c r="K57" s="527">
        <v>1537475</v>
      </c>
      <c r="L57" s="336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3">
        <v>44933</v>
      </c>
      <c r="C58" s="328" t="s">
        <v>2572</v>
      </c>
      <c r="D58" s="263" t="s">
        <v>376</v>
      </c>
      <c r="E58" s="265" t="s">
        <v>377</v>
      </c>
      <c r="F58" s="262" t="s">
        <v>4316</v>
      </c>
      <c r="G58" s="247" t="s">
        <v>2644</v>
      </c>
      <c r="H58" s="316">
        <v>21766600</v>
      </c>
      <c r="I58" s="317">
        <v>3700322</v>
      </c>
      <c r="J58" s="527">
        <v>16275926</v>
      </c>
      <c r="K58" s="527">
        <v>1790351</v>
      </c>
      <c r="L58" s="336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3">
        <v>44933</v>
      </c>
      <c r="C59" s="328" t="s">
        <v>2573</v>
      </c>
      <c r="D59" s="263" t="s">
        <v>376</v>
      </c>
      <c r="E59" s="265" t="s">
        <v>377</v>
      </c>
      <c r="F59" s="262" t="s">
        <v>4316</v>
      </c>
      <c r="G59" s="247" t="s">
        <v>2645</v>
      </c>
      <c r="H59" s="316">
        <v>62796800</v>
      </c>
      <c r="I59" s="317">
        <v>10675456</v>
      </c>
      <c r="J59" s="527">
        <v>46956165</v>
      </c>
      <c r="K59" s="527">
        <v>5165178</v>
      </c>
      <c r="L59" s="336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3">
        <v>44935</v>
      </c>
      <c r="C60" s="328" t="s">
        <v>2574</v>
      </c>
      <c r="D60" s="263" t="s">
        <v>376</v>
      </c>
      <c r="E60" s="265" t="s">
        <v>377</v>
      </c>
      <c r="F60" s="262" t="s">
        <v>4316</v>
      </c>
      <c r="G60" s="247" t="s">
        <v>2646</v>
      </c>
      <c r="H60" s="316">
        <v>11064000</v>
      </c>
      <c r="I60" s="317">
        <v>1880880.0000000002</v>
      </c>
      <c r="J60" s="527">
        <v>8273081</v>
      </c>
      <c r="K60" s="527">
        <v>910038</v>
      </c>
      <c r="L60" s="336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3">
        <v>44935</v>
      </c>
      <c r="C61" s="328" t="s">
        <v>2575</v>
      </c>
      <c r="D61" s="263" t="s">
        <v>376</v>
      </c>
      <c r="E61" s="265" t="s">
        <v>377</v>
      </c>
      <c r="F61" s="262" t="s">
        <v>4316</v>
      </c>
      <c r="G61" s="247" t="s">
        <v>2647</v>
      </c>
      <c r="H61" s="316">
        <v>66351200</v>
      </c>
      <c r="I61" s="317">
        <v>11279704</v>
      </c>
      <c r="J61" s="527">
        <v>49613960</v>
      </c>
      <c r="K61" s="527">
        <v>5457535</v>
      </c>
      <c r="L61" s="336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3">
        <v>44936</v>
      </c>
      <c r="C62" s="328" t="s">
        <v>2576</v>
      </c>
      <c r="D62" s="263" t="s">
        <v>376</v>
      </c>
      <c r="E62" s="265" t="s">
        <v>377</v>
      </c>
      <c r="F62" s="262" t="s">
        <v>4316</v>
      </c>
      <c r="G62" s="247" t="s">
        <v>2648</v>
      </c>
      <c r="H62" s="316">
        <v>19532000</v>
      </c>
      <c r="I62" s="317">
        <v>3320440</v>
      </c>
      <c r="J62" s="527">
        <v>14605009</v>
      </c>
      <c r="K62" s="527">
        <v>1606550</v>
      </c>
      <c r="L62" s="336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3">
        <v>44936</v>
      </c>
      <c r="C63" s="328" t="s">
        <v>2577</v>
      </c>
      <c r="D63" s="263" t="s">
        <v>376</v>
      </c>
      <c r="E63" s="265" t="s">
        <v>377</v>
      </c>
      <c r="F63" s="262" t="s">
        <v>4316</v>
      </c>
      <c r="G63" s="247" t="s">
        <v>2649</v>
      </c>
      <c r="H63" s="316">
        <v>8280000</v>
      </c>
      <c r="I63" s="317">
        <v>1407600</v>
      </c>
      <c r="J63" s="527">
        <v>6191351</v>
      </c>
      <c r="K63" s="527">
        <v>681048</v>
      </c>
      <c r="L63" s="336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3">
        <v>44937</v>
      </c>
      <c r="C64" s="328" t="s">
        <v>2667</v>
      </c>
      <c r="D64" s="263" t="s">
        <v>376</v>
      </c>
      <c r="E64" s="265" t="s">
        <v>377</v>
      </c>
      <c r="F64" s="262" t="s">
        <v>4316</v>
      </c>
      <c r="G64" s="247" t="s">
        <v>2650</v>
      </c>
      <c r="H64" s="316">
        <v>38313600</v>
      </c>
      <c r="I64" s="317">
        <v>6513312</v>
      </c>
      <c r="J64" s="527">
        <v>28648908</v>
      </c>
      <c r="K64" s="527">
        <v>3151379</v>
      </c>
      <c r="L64" s="336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3">
        <v>44938</v>
      </c>
      <c r="C65" s="328" t="s">
        <v>2592</v>
      </c>
      <c r="D65" s="263" t="s">
        <v>376</v>
      </c>
      <c r="E65" s="265" t="s">
        <v>377</v>
      </c>
      <c r="F65" s="262" t="s">
        <v>4316</v>
      </c>
      <c r="G65" s="247" t="s">
        <v>2651</v>
      </c>
      <c r="H65" s="316">
        <v>30225600</v>
      </c>
      <c r="I65" s="317">
        <v>5138352</v>
      </c>
      <c r="J65" s="527">
        <v>22601124</v>
      </c>
      <c r="K65" s="527">
        <v>2486123</v>
      </c>
      <c r="L65" s="336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3">
        <v>44939</v>
      </c>
      <c r="C66" s="328" t="s">
        <v>2666</v>
      </c>
      <c r="D66" s="263" t="s">
        <v>376</v>
      </c>
      <c r="E66" s="265" t="s">
        <v>377</v>
      </c>
      <c r="F66" s="262" t="s">
        <v>4316</v>
      </c>
      <c r="G66" s="247" t="s">
        <v>2652</v>
      </c>
      <c r="H66" s="316">
        <v>67809600</v>
      </c>
      <c r="I66" s="317">
        <v>11527632</v>
      </c>
      <c r="J66" s="527">
        <v>50704475</v>
      </c>
      <c r="K66" s="527">
        <f>J66*11%</f>
        <v>5577492.25</v>
      </c>
      <c r="L66" s="336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3">
        <v>44940</v>
      </c>
      <c r="C67" s="328" t="s">
        <v>2598</v>
      </c>
      <c r="D67" s="263" t="s">
        <v>376</v>
      </c>
      <c r="E67" s="265" t="s">
        <v>377</v>
      </c>
      <c r="F67" s="262" t="s">
        <v>4316</v>
      </c>
      <c r="G67" s="247" t="s">
        <v>2653</v>
      </c>
      <c r="H67" s="316">
        <v>37649400</v>
      </c>
      <c r="I67" s="317">
        <v>6400398</v>
      </c>
      <c r="J67" s="527">
        <v>28152254</v>
      </c>
      <c r="K67" s="527">
        <v>3096747</v>
      </c>
      <c r="L67" s="336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3">
        <v>44942</v>
      </c>
      <c r="C68" s="328" t="s">
        <v>2599</v>
      </c>
      <c r="D68" s="263" t="s">
        <v>376</v>
      </c>
      <c r="E68" s="265" t="s">
        <v>377</v>
      </c>
      <c r="F68" s="262" t="s">
        <v>4316</v>
      </c>
      <c r="G68" s="247" t="s">
        <v>2654</v>
      </c>
      <c r="H68" s="316">
        <v>13564800</v>
      </c>
      <c r="I68" s="317">
        <v>2306016</v>
      </c>
      <c r="J68" s="527">
        <v>10143048</v>
      </c>
      <c r="K68" s="527">
        <v>1115735</v>
      </c>
      <c r="L68" s="336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3">
        <v>44943</v>
      </c>
      <c r="C69" s="328" t="s">
        <v>2600</v>
      </c>
      <c r="D69" s="263" t="s">
        <v>376</v>
      </c>
      <c r="E69" s="265" t="s">
        <v>377</v>
      </c>
      <c r="F69" s="262" t="s">
        <v>4316</v>
      </c>
      <c r="G69" s="247" t="s">
        <v>2655</v>
      </c>
      <c r="H69" s="316">
        <v>14688000</v>
      </c>
      <c r="I69" s="317">
        <v>2496960</v>
      </c>
      <c r="J69" s="527">
        <v>10982918</v>
      </c>
      <c r="K69" s="527">
        <v>1208121</v>
      </c>
      <c r="L69" s="336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3">
        <v>44944</v>
      </c>
      <c r="C70" s="328" t="s">
        <v>2601</v>
      </c>
      <c r="D70" s="263" t="s">
        <v>376</v>
      </c>
      <c r="E70" s="265" t="s">
        <v>377</v>
      </c>
      <c r="F70" s="262" t="s">
        <v>4316</v>
      </c>
      <c r="G70" s="247" t="s">
        <v>2656</v>
      </c>
      <c r="H70" s="316">
        <v>23928800</v>
      </c>
      <c r="I70" s="317">
        <v>4067896.0000000009</v>
      </c>
      <c r="J70" s="527">
        <v>17892706</v>
      </c>
      <c r="K70" s="527">
        <v>1968197</v>
      </c>
      <c r="L70" s="336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3">
        <v>44952</v>
      </c>
      <c r="C71" s="328" t="s">
        <v>2619</v>
      </c>
      <c r="D71" s="263" t="s">
        <v>376</v>
      </c>
      <c r="E71" s="265" t="s">
        <v>377</v>
      </c>
      <c r="F71" s="262" t="s">
        <v>4316</v>
      </c>
      <c r="G71" s="247" t="s">
        <v>2657</v>
      </c>
      <c r="H71" s="316">
        <v>31450400</v>
      </c>
      <c r="I71" s="317">
        <v>5346568</v>
      </c>
      <c r="J71" s="527">
        <v>23516965</v>
      </c>
      <c r="K71" s="527">
        <v>2586866</v>
      </c>
      <c r="L71" s="336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3">
        <v>44952</v>
      </c>
      <c r="C72" s="328" t="s">
        <v>2618</v>
      </c>
      <c r="D72" s="263" t="s">
        <v>376</v>
      </c>
      <c r="E72" s="265" t="s">
        <v>377</v>
      </c>
      <c r="F72" s="262" t="s">
        <v>4316</v>
      </c>
      <c r="G72" s="247" t="s">
        <v>2658</v>
      </c>
      <c r="H72" s="316">
        <v>58380000</v>
      </c>
      <c r="I72" s="317">
        <v>9924600.0000000019</v>
      </c>
      <c r="J72" s="527">
        <v>43653513</v>
      </c>
      <c r="K72" s="527">
        <v>4801886</v>
      </c>
      <c r="L72" s="336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3">
        <v>44953</v>
      </c>
      <c r="C73" s="328" t="s">
        <v>2659</v>
      </c>
      <c r="D73" s="263" t="s">
        <v>376</v>
      </c>
      <c r="E73" s="265" t="s">
        <v>377</v>
      </c>
      <c r="F73" s="262" t="s">
        <v>4316</v>
      </c>
      <c r="G73" s="247" t="s">
        <v>2720</v>
      </c>
      <c r="H73" s="316">
        <v>26682000</v>
      </c>
      <c r="I73" s="317">
        <v>4535940</v>
      </c>
      <c r="J73" s="527">
        <v>19951405</v>
      </c>
      <c r="K73" s="527">
        <v>2194654</v>
      </c>
      <c r="L73" s="336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3">
        <v>44956</v>
      </c>
      <c r="C74" s="328" t="s">
        <v>2662</v>
      </c>
      <c r="D74" s="263" t="s">
        <v>390</v>
      </c>
      <c r="E74" s="262" t="s">
        <v>391</v>
      </c>
      <c r="F74" s="265" t="s">
        <v>394</v>
      </c>
      <c r="G74" s="247" t="s">
        <v>2731</v>
      </c>
      <c r="H74" s="316">
        <v>35328000.003300004</v>
      </c>
      <c r="I74" s="317">
        <v>409.77</v>
      </c>
      <c r="J74" s="527">
        <v>31827027</v>
      </c>
      <c r="K74" s="527">
        <v>3500973</v>
      </c>
      <c r="L74" s="336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3">
        <v>44945</v>
      </c>
      <c r="C75" s="328" t="s">
        <v>2612</v>
      </c>
      <c r="D75" s="263" t="s">
        <v>303</v>
      </c>
      <c r="E75" s="265" t="s">
        <v>373</v>
      </c>
      <c r="F75" s="262" t="s">
        <v>4317</v>
      </c>
      <c r="G75" s="247" t="s">
        <v>2721</v>
      </c>
      <c r="H75" s="316">
        <v>48000000</v>
      </c>
      <c r="I75" s="317">
        <v>4200000</v>
      </c>
      <c r="J75" s="527">
        <v>39459487</v>
      </c>
      <c r="K75" s="527">
        <v>4340543</v>
      </c>
      <c r="L75" s="336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3">
        <v>44938</v>
      </c>
      <c r="C76" s="328" t="s">
        <v>2594</v>
      </c>
      <c r="D76" s="263" t="s">
        <v>298</v>
      </c>
      <c r="E76" s="265" t="s">
        <v>374</v>
      </c>
      <c r="F76" s="262" t="s">
        <v>375</v>
      </c>
      <c r="G76" s="247" t="s">
        <v>2707</v>
      </c>
      <c r="H76" s="316">
        <v>8760000</v>
      </c>
      <c r="I76" s="317">
        <v>0</v>
      </c>
      <c r="J76" s="527">
        <v>7891680</v>
      </c>
      <c r="K76" s="527">
        <v>868084</v>
      </c>
      <c r="L76" s="336">
        <f t="shared" si="8"/>
        <v>8759764</v>
      </c>
      <c r="M76" s="316">
        <f t="shared" si="9"/>
        <v>8760000</v>
      </c>
    </row>
    <row r="77" spans="1:13" ht="18.75" thickBot="1" x14ac:dyDescent="0.3">
      <c r="A77" s="735" t="s">
        <v>38</v>
      </c>
      <c r="B77" s="736"/>
      <c r="C77" s="737"/>
      <c r="D77" s="738"/>
      <c r="E77" s="739"/>
      <c r="F77" s="739"/>
      <c r="G77" s="740"/>
      <c r="H77" s="734">
        <f>SUM(H6:H76)</f>
        <v>1757235191.1983001</v>
      </c>
      <c r="I77" s="734"/>
      <c r="J77" s="734">
        <f>SUM(J6:J76)</f>
        <v>1432247523</v>
      </c>
      <c r="K77" s="734">
        <f>SUM(K6:K76)</f>
        <v>157547196.25</v>
      </c>
      <c r="L77" s="734">
        <f>SUM(L6:L76)</f>
        <v>1589794719.25</v>
      </c>
      <c r="M77" s="734">
        <f>SUM(M6:M76)</f>
        <v>1590381115.1759</v>
      </c>
    </row>
    <row r="78" spans="1:13" ht="18" x14ac:dyDescent="0.25">
      <c r="A78" s="700" t="s">
        <v>99</v>
      </c>
      <c r="B78" s="700"/>
      <c r="C78" s="701"/>
      <c r="D78" s="702"/>
      <c r="E78" s="703"/>
      <c r="F78" s="703"/>
      <c r="G78" s="702"/>
      <c r="H78" s="704"/>
      <c r="I78" s="704"/>
      <c r="J78" s="705"/>
      <c r="K78" s="705"/>
      <c r="L78" s="706"/>
      <c r="M78" s="707"/>
    </row>
    <row r="79" spans="1:13" s="248" customFormat="1" x14ac:dyDescent="0.25">
      <c r="A79" s="264">
        <v>44978</v>
      </c>
      <c r="B79" s="433">
        <v>44974</v>
      </c>
      <c r="C79" s="328" t="s">
        <v>3009</v>
      </c>
      <c r="D79" s="263" t="s">
        <v>397</v>
      </c>
      <c r="E79" s="265" t="s">
        <v>7135</v>
      </c>
      <c r="F79" s="262" t="s">
        <v>396</v>
      </c>
      <c r="G79" s="247" t="s">
        <v>3392</v>
      </c>
      <c r="H79" s="316">
        <v>1984680.0000000002</v>
      </c>
      <c r="I79" s="317">
        <v>0</v>
      </c>
      <c r="J79" s="527">
        <v>1788000</v>
      </c>
      <c r="K79" s="527">
        <v>196680</v>
      </c>
      <c r="L79" s="336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3">
        <v>44958</v>
      </c>
      <c r="C80" s="328" t="s">
        <v>2678</v>
      </c>
      <c r="D80" s="263" t="s">
        <v>297</v>
      </c>
      <c r="E80" s="265" t="s">
        <v>369</v>
      </c>
      <c r="F80" s="262" t="s">
        <v>395</v>
      </c>
      <c r="G80" s="247" t="s">
        <v>3429</v>
      </c>
      <c r="H80" s="316">
        <v>23183895</v>
      </c>
      <c r="I80" s="317">
        <v>0</v>
      </c>
      <c r="J80" s="527">
        <v>20886391</v>
      </c>
      <c r="K80" s="527">
        <v>2297503</v>
      </c>
      <c r="L80" s="336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3">
        <v>44958</v>
      </c>
      <c r="C81" s="328" t="s">
        <v>2679</v>
      </c>
      <c r="D81" s="263" t="s">
        <v>297</v>
      </c>
      <c r="E81" s="265" t="s">
        <v>369</v>
      </c>
      <c r="F81" s="262" t="s">
        <v>395</v>
      </c>
      <c r="G81" s="247" t="s">
        <v>3430</v>
      </c>
      <c r="H81" s="316">
        <v>6655662</v>
      </c>
      <c r="I81" s="317">
        <v>48222</v>
      </c>
      <c r="J81" s="527">
        <v>5952648</v>
      </c>
      <c r="K81" s="527">
        <v>654791</v>
      </c>
      <c r="L81" s="336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3">
        <v>44959</v>
      </c>
      <c r="C82" s="328" t="s">
        <v>2680</v>
      </c>
      <c r="D82" s="263" t="s">
        <v>297</v>
      </c>
      <c r="E82" s="265" t="s">
        <v>369</v>
      </c>
      <c r="F82" s="262" t="s">
        <v>395</v>
      </c>
      <c r="G82" s="247" t="s">
        <v>3431</v>
      </c>
      <c r="H82" s="316">
        <v>1460511</v>
      </c>
      <c r="I82" s="317">
        <v>24111</v>
      </c>
      <c r="J82" s="527">
        <v>1294054</v>
      </c>
      <c r="K82" s="527">
        <v>142345</v>
      </c>
      <c r="L82" s="336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3">
        <v>44961</v>
      </c>
      <c r="C83" s="328" t="s">
        <v>2681</v>
      </c>
      <c r="D83" s="263" t="s">
        <v>297</v>
      </c>
      <c r="E83" s="265" t="s">
        <v>369</v>
      </c>
      <c r="F83" s="262" t="s">
        <v>395</v>
      </c>
      <c r="G83" s="247" t="s">
        <v>3432</v>
      </c>
      <c r="H83" s="316">
        <v>3408125</v>
      </c>
      <c r="I83" s="317">
        <v>0</v>
      </c>
      <c r="J83" s="527">
        <v>3070382</v>
      </c>
      <c r="K83" s="527">
        <v>337742</v>
      </c>
      <c r="L83" s="336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3">
        <v>44963</v>
      </c>
      <c r="C84" s="328" t="s">
        <v>2683</v>
      </c>
      <c r="D84" s="263" t="s">
        <v>297</v>
      </c>
      <c r="E84" s="265" t="s">
        <v>369</v>
      </c>
      <c r="F84" s="262" t="s">
        <v>395</v>
      </c>
      <c r="G84" s="247" t="s">
        <v>3433</v>
      </c>
      <c r="H84" s="316">
        <v>25259265</v>
      </c>
      <c r="I84" s="317">
        <v>361665</v>
      </c>
      <c r="J84" s="527">
        <v>22430270</v>
      </c>
      <c r="K84" s="527">
        <v>2467329</v>
      </c>
      <c r="L84" s="336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3">
        <v>44965</v>
      </c>
      <c r="C85" s="328" t="s">
        <v>3420</v>
      </c>
      <c r="D85" s="263" t="s">
        <v>297</v>
      </c>
      <c r="E85" s="265" t="s">
        <v>369</v>
      </c>
      <c r="F85" s="262" t="s">
        <v>395</v>
      </c>
      <c r="G85" s="247" t="s">
        <v>3434</v>
      </c>
      <c r="H85" s="316">
        <v>25772407.5</v>
      </c>
      <c r="I85" s="317">
        <v>0</v>
      </c>
      <c r="J85" s="527">
        <v>23218385</v>
      </c>
      <c r="K85" s="527">
        <v>2554022</v>
      </c>
      <c r="L85" s="336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3">
        <v>44965</v>
      </c>
      <c r="C86" s="328" t="s">
        <v>3421</v>
      </c>
      <c r="D86" s="263" t="s">
        <v>297</v>
      </c>
      <c r="E86" s="265" t="s">
        <v>369</v>
      </c>
      <c r="F86" s="262" t="s">
        <v>395</v>
      </c>
      <c r="G86" s="247" t="s">
        <v>3435</v>
      </c>
      <c r="H86" s="316">
        <v>22944685</v>
      </c>
      <c r="I86" s="317">
        <v>120555</v>
      </c>
      <c r="J86" s="527">
        <v>20562279</v>
      </c>
      <c r="K86" s="527">
        <v>2261850</v>
      </c>
      <c r="L86" s="336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3">
        <v>44966</v>
      </c>
      <c r="C87" s="328" t="s">
        <v>2726</v>
      </c>
      <c r="D87" s="263" t="s">
        <v>297</v>
      </c>
      <c r="E87" s="265" t="s">
        <v>369</v>
      </c>
      <c r="F87" s="262" t="s">
        <v>395</v>
      </c>
      <c r="G87" s="247" t="s">
        <v>3436</v>
      </c>
      <c r="H87" s="316">
        <v>42014700</v>
      </c>
      <c r="I87" s="317">
        <v>0</v>
      </c>
      <c r="J87" s="527">
        <v>37851081</v>
      </c>
      <c r="K87" s="527">
        <v>4163618</v>
      </c>
      <c r="L87" s="336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3">
        <v>44966</v>
      </c>
      <c r="C88" s="328" t="s">
        <v>2727</v>
      </c>
      <c r="D88" s="263" t="s">
        <v>297</v>
      </c>
      <c r="E88" s="265" t="s">
        <v>369</v>
      </c>
      <c r="F88" s="262" t="s">
        <v>395</v>
      </c>
      <c r="G88" s="247" t="s">
        <v>3437</v>
      </c>
      <c r="H88" s="316">
        <v>37943902.5</v>
      </c>
      <c r="I88" s="317">
        <v>0</v>
      </c>
      <c r="J88" s="527">
        <v>34183695</v>
      </c>
      <c r="K88" s="527">
        <v>3760206</v>
      </c>
      <c r="L88" s="336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3">
        <v>44966</v>
      </c>
      <c r="C89" s="328" t="s">
        <v>2728</v>
      </c>
      <c r="D89" s="263" t="s">
        <v>297</v>
      </c>
      <c r="E89" s="265" t="s">
        <v>369</v>
      </c>
      <c r="F89" s="262" t="s">
        <v>395</v>
      </c>
      <c r="G89" s="247" t="s">
        <v>3438</v>
      </c>
      <c r="H89" s="316">
        <v>75874006.25</v>
      </c>
      <c r="I89" s="317">
        <v>0</v>
      </c>
      <c r="J89" s="527">
        <v>68354960</v>
      </c>
      <c r="K89" s="527">
        <v>7519045</v>
      </c>
      <c r="L89" s="336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3">
        <v>44966</v>
      </c>
      <c r="C90" s="328" t="s">
        <v>2729</v>
      </c>
      <c r="D90" s="263" t="s">
        <v>297</v>
      </c>
      <c r="E90" s="265" t="s">
        <v>369</v>
      </c>
      <c r="F90" s="262" t="s">
        <v>395</v>
      </c>
      <c r="G90" s="247" t="s">
        <v>3439</v>
      </c>
      <c r="H90" s="316">
        <v>10198440</v>
      </c>
      <c r="I90" s="317">
        <v>0</v>
      </c>
      <c r="J90" s="527">
        <v>9187783</v>
      </c>
      <c r="K90" s="527">
        <v>1010656</v>
      </c>
      <c r="L90" s="336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3">
        <v>44966</v>
      </c>
      <c r="C91" s="328" t="s">
        <v>2730</v>
      </c>
      <c r="D91" s="263" t="s">
        <v>297</v>
      </c>
      <c r="E91" s="265" t="s">
        <v>369</v>
      </c>
      <c r="F91" s="262" t="s">
        <v>395</v>
      </c>
      <c r="G91" s="247" t="s">
        <v>3440</v>
      </c>
      <c r="H91" s="316">
        <v>20854134</v>
      </c>
      <c r="I91" s="317">
        <v>337554</v>
      </c>
      <c r="J91" s="527">
        <v>18483405</v>
      </c>
      <c r="K91" s="527">
        <v>2033174</v>
      </c>
      <c r="L91" s="336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3">
        <v>44967</v>
      </c>
      <c r="C92" s="328" t="s">
        <v>2745</v>
      </c>
      <c r="D92" s="263" t="s">
        <v>297</v>
      </c>
      <c r="E92" s="265" t="s">
        <v>369</v>
      </c>
      <c r="F92" s="262" t="s">
        <v>395</v>
      </c>
      <c r="G92" s="247" t="s">
        <v>3441</v>
      </c>
      <c r="H92" s="316">
        <v>35020230</v>
      </c>
      <c r="I92" s="317">
        <v>0</v>
      </c>
      <c r="J92" s="527">
        <v>31549756</v>
      </c>
      <c r="K92" s="527">
        <v>3470473</v>
      </c>
      <c r="L92" s="336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3">
        <v>44967</v>
      </c>
      <c r="C93" s="328" t="s">
        <v>2746</v>
      </c>
      <c r="D93" s="263" t="s">
        <v>297</v>
      </c>
      <c r="E93" s="265" t="s">
        <v>369</v>
      </c>
      <c r="F93" s="262" t="s">
        <v>395</v>
      </c>
      <c r="G93" s="247" t="s">
        <v>3442</v>
      </c>
      <c r="H93" s="316">
        <v>12521118.75</v>
      </c>
      <c r="I93" s="317">
        <v>0</v>
      </c>
      <c r="J93" s="527">
        <v>11280287</v>
      </c>
      <c r="K93" s="527">
        <v>1240831</v>
      </c>
      <c r="L93" s="336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3">
        <v>44967</v>
      </c>
      <c r="C94" s="328" t="s">
        <v>2747</v>
      </c>
      <c r="D94" s="263" t="s">
        <v>297</v>
      </c>
      <c r="E94" s="265" t="s">
        <v>369</v>
      </c>
      <c r="F94" s="262" t="s">
        <v>395</v>
      </c>
      <c r="G94" s="247" t="s">
        <v>3443</v>
      </c>
      <c r="H94" s="316">
        <v>9680766</v>
      </c>
      <c r="I94" s="317">
        <v>144666</v>
      </c>
      <c r="J94" s="527">
        <v>8591081</v>
      </c>
      <c r="K94" s="527">
        <v>945018</v>
      </c>
      <c r="L94" s="336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3">
        <v>44968</v>
      </c>
      <c r="C95" s="328" t="s">
        <v>2748</v>
      </c>
      <c r="D95" s="263" t="s">
        <v>297</v>
      </c>
      <c r="E95" s="265" t="s">
        <v>369</v>
      </c>
      <c r="F95" s="262" t="s">
        <v>395</v>
      </c>
      <c r="G95" s="247" t="s">
        <v>3444</v>
      </c>
      <c r="H95" s="316">
        <v>57930228.125</v>
      </c>
      <c r="I95" s="317">
        <v>0</v>
      </c>
      <c r="J95" s="527">
        <v>52189394</v>
      </c>
      <c r="K95" s="527">
        <v>5740833</v>
      </c>
      <c r="L95" s="336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3">
        <v>44968</v>
      </c>
      <c r="C96" s="328" t="s">
        <v>2749</v>
      </c>
      <c r="D96" s="263" t="s">
        <v>297</v>
      </c>
      <c r="E96" s="265" t="s">
        <v>369</v>
      </c>
      <c r="F96" s="262" t="s">
        <v>395</v>
      </c>
      <c r="G96" s="247" t="s">
        <v>3445</v>
      </c>
      <c r="H96" s="316">
        <v>15489180</v>
      </c>
      <c r="I96" s="317">
        <v>0</v>
      </c>
      <c r="J96" s="527">
        <v>13954216</v>
      </c>
      <c r="K96" s="527">
        <v>1534963</v>
      </c>
      <c r="L96" s="336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3">
        <v>44968</v>
      </c>
      <c r="C97" s="328" t="s">
        <v>2750</v>
      </c>
      <c r="D97" s="263" t="s">
        <v>297</v>
      </c>
      <c r="E97" s="265" t="s">
        <v>369</v>
      </c>
      <c r="F97" s="262" t="s">
        <v>395</v>
      </c>
      <c r="G97" s="247" t="s">
        <v>3446</v>
      </c>
      <c r="H97" s="316">
        <v>10151757</v>
      </c>
      <c r="I97" s="317">
        <v>168777</v>
      </c>
      <c r="J97" s="527">
        <v>8993675</v>
      </c>
      <c r="K97" s="527">
        <v>989304</v>
      </c>
      <c r="L97" s="336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3">
        <v>44972</v>
      </c>
      <c r="C98" s="328" t="s">
        <v>3007</v>
      </c>
      <c r="D98" s="263" t="s">
        <v>297</v>
      </c>
      <c r="E98" s="265" t="s">
        <v>369</v>
      </c>
      <c r="F98" s="262" t="s">
        <v>395</v>
      </c>
      <c r="G98" s="247" t="s">
        <v>3447</v>
      </c>
      <c r="H98" s="316">
        <v>17880396.5</v>
      </c>
      <c r="I98" s="317">
        <v>216999</v>
      </c>
      <c r="J98" s="527">
        <v>15912970</v>
      </c>
      <c r="K98" s="527">
        <v>1750426</v>
      </c>
      <c r="L98" s="336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3">
        <v>44974</v>
      </c>
      <c r="C99" s="328" t="s">
        <v>3426</v>
      </c>
      <c r="D99" s="263" t="s">
        <v>297</v>
      </c>
      <c r="E99" s="265" t="s">
        <v>369</v>
      </c>
      <c r="F99" s="262" t="s">
        <v>395</v>
      </c>
      <c r="G99" s="247" t="s">
        <v>3636</v>
      </c>
      <c r="H99" s="316">
        <v>41013894</v>
      </c>
      <c r="I99" s="317">
        <v>96444</v>
      </c>
      <c r="J99" s="527">
        <v>36862567</v>
      </c>
      <c r="K99" s="527">
        <v>4054882</v>
      </c>
      <c r="L99" s="336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3">
        <v>44974</v>
      </c>
      <c r="C100" s="328" t="s">
        <v>3427</v>
      </c>
      <c r="D100" s="263" t="s">
        <v>297</v>
      </c>
      <c r="E100" s="265" t="s">
        <v>369</v>
      </c>
      <c r="F100" s="262" t="s">
        <v>395</v>
      </c>
      <c r="G100" s="247" t="s">
        <v>3637</v>
      </c>
      <c r="H100" s="316">
        <v>7980000</v>
      </c>
      <c r="I100" s="317">
        <v>0</v>
      </c>
      <c r="J100" s="527">
        <v>7189189</v>
      </c>
      <c r="K100" s="527">
        <v>790810</v>
      </c>
      <c r="L100" s="336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3">
        <v>44977</v>
      </c>
      <c r="C101" s="328" t="s">
        <v>3063</v>
      </c>
      <c r="D101" s="263" t="s">
        <v>297</v>
      </c>
      <c r="E101" s="265" t="s">
        <v>369</v>
      </c>
      <c r="F101" s="262" t="s">
        <v>395</v>
      </c>
      <c r="G101" s="247" t="s">
        <v>3638</v>
      </c>
      <c r="H101" s="316">
        <v>17834183.75</v>
      </c>
      <c r="I101" s="317">
        <v>241110</v>
      </c>
      <c r="J101" s="527">
        <v>15849615</v>
      </c>
      <c r="K101" s="527">
        <v>1743457</v>
      </c>
      <c r="L101" s="336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3">
        <v>44979</v>
      </c>
      <c r="C102" s="328" t="s">
        <v>3259</v>
      </c>
      <c r="D102" s="263" t="s">
        <v>297</v>
      </c>
      <c r="E102" s="265" t="s">
        <v>369</v>
      </c>
      <c r="F102" s="262" t="s">
        <v>395</v>
      </c>
      <c r="G102" s="247" t="s">
        <v>3639</v>
      </c>
      <c r="H102" s="316">
        <v>11731113</v>
      </c>
      <c r="I102" s="317">
        <v>72333</v>
      </c>
      <c r="J102" s="527">
        <v>10503405</v>
      </c>
      <c r="K102" s="527">
        <v>1155374</v>
      </c>
      <c r="L102" s="336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3">
        <v>44982</v>
      </c>
      <c r="C103" s="328" t="s">
        <v>3390</v>
      </c>
      <c r="D103" s="263" t="s">
        <v>297</v>
      </c>
      <c r="E103" s="523" t="s">
        <v>369</v>
      </c>
      <c r="F103" s="262" t="s">
        <v>395</v>
      </c>
      <c r="G103" s="247" t="s">
        <v>3640</v>
      </c>
      <c r="H103" s="316">
        <v>10170177.5</v>
      </c>
      <c r="I103" s="317">
        <v>0</v>
      </c>
      <c r="J103" s="527">
        <v>9162322</v>
      </c>
      <c r="K103" s="527">
        <v>1007855</v>
      </c>
      <c r="L103" s="336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3">
        <v>44984</v>
      </c>
      <c r="C104" s="328" t="s">
        <v>3391</v>
      </c>
      <c r="D104" s="263" t="s">
        <v>297</v>
      </c>
      <c r="E104" s="523" t="s">
        <v>369</v>
      </c>
      <c r="F104" s="262" t="s">
        <v>395</v>
      </c>
      <c r="G104" s="247" t="s">
        <v>3641</v>
      </c>
      <c r="H104" s="316">
        <v>1346625</v>
      </c>
      <c r="I104" s="317">
        <v>0</v>
      </c>
      <c r="J104" s="527">
        <v>1213175</v>
      </c>
      <c r="K104" s="527">
        <v>133449</v>
      </c>
      <c r="L104" s="336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3">
        <v>44985</v>
      </c>
      <c r="C105" s="328" t="s">
        <v>3643</v>
      </c>
      <c r="D105" s="263" t="s">
        <v>297</v>
      </c>
      <c r="E105" s="523" t="s">
        <v>369</v>
      </c>
      <c r="F105" s="262" t="s">
        <v>395</v>
      </c>
      <c r="G105" s="247" t="s">
        <v>3642</v>
      </c>
      <c r="H105" s="316">
        <v>35599777.5</v>
      </c>
      <c r="I105" s="317">
        <v>609472.5</v>
      </c>
      <c r="J105" s="527">
        <v>31522797</v>
      </c>
      <c r="K105" s="527">
        <v>3467507</v>
      </c>
      <c r="L105" s="336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3">
        <v>44985</v>
      </c>
      <c r="C106" s="328" t="s">
        <v>3645</v>
      </c>
      <c r="D106" s="263" t="s">
        <v>297</v>
      </c>
      <c r="E106" s="523" t="s">
        <v>369</v>
      </c>
      <c r="F106" s="262" t="s">
        <v>395</v>
      </c>
      <c r="G106" s="247" t="s">
        <v>3644</v>
      </c>
      <c r="H106" s="316">
        <v>10170343.75</v>
      </c>
      <c r="I106" s="317">
        <v>140647.5</v>
      </c>
      <c r="J106" s="527">
        <v>9035762</v>
      </c>
      <c r="K106" s="527">
        <v>993933</v>
      </c>
      <c r="L106" s="336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3">
        <v>44959</v>
      </c>
      <c r="C107" s="328" t="s">
        <v>2682</v>
      </c>
      <c r="D107" s="263" t="s">
        <v>299</v>
      </c>
      <c r="E107" s="265" t="s">
        <v>372</v>
      </c>
      <c r="F107" s="262" t="s">
        <v>6274</v>
      </c>
      <c r="G107" s="247" t="s">
        <v>3621</v>
      </c>
      <c r="H107" s="316">
        <v>17489500</v>
      </c>
      <c r="I107" s="317">
        <v>0</v>
      </c>
      <c r="J107" s="527">
        <v>15756306</v>
      </c>
      <c r="K107" s="527">
        <v>1733193</v>
      </c>
      <c r="L107" s="336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3">
        <v>44974</v>
      </c>
      <c r="C108" s="328" t="s">
        <v>3428</v>
      </c>
      <c r="D108" s="263" t="s">
        <v>299</v>
      </c>
      <c r="E108" s="265" t="s">
        <v>372</v>
      </c>
      <c r="F108" s="262" t="s">
        <v>6274</v>
      </c>
      <c r="G108" s="247" t="s">
        <v>3622</v>
      </c>
      <c r="H108" s="316">
        <v>11753875</v>
      </c>
      <c r="I108" s="317">
        <v>1071945</v>
      </c>
      <c r="J108" s="527">
        <v>9623360</v>
      </c>
      <c r="K108" s="527">
        <v>1058569</v>
      </c>
      <c r="L108" s="336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3">
        <v>44980</v>
      </c>
      <c r="C109" s="328" t="s">
        <v>3260</v>
      </c>
      <c r="D109" s="263" t="s">
        <v>299</v>
      </c>
      <c r="E109" s="265" t="s">
        <v>372</v>
      </c>
      <c r="F109" s="262" t="s">
        <v>6274</v>
      </c>
      <c r="G109" s="247" t="s">
        <v>3623</v>
      </c>
      <c r="H109" s="316">
        <v>8013250</v>
      </c>
      <c r="I109" s="317">
        <v>0</v>
      </c>
      <c r="J109" s="527">
        <v>7219144</v>
      </c>
      <c r="K109" s="527">
        <v>794105</v>
      </c>
      <c r="L109" s="336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3">
        <v>44958</v>
      </c>
      <c r="C110" s="328" t="s">
        <v>2670</v>
      </c>
      <c r="D110" s="263" t="s">
        <v>376</v>
      </c>
      <c r="E110" s="265" t="s">
        <v>377</v>
      </c>
      <c r="F110" s="262" t="s">
        <v>4316</v>
      </c>
      <c r="G110" s="247" t="s">
        <v>3394</v>
      </c>
      <c r="H110" s="316">
        <v>31653000</v>
      </c>
      <c r="I110" s="317">
        <v>5381010</v>
      </c>
      <c r="J110" s="527">
        <v>23668459</v>
      </c>
      <c r="K110" s="527">
        <v>2603530</v>
      </c>
      <c r="L110" s="336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3">
        <v>44958</v>
      </c>
      <c r="C111" s="328" t="s">
        <v>2669</v>
      </c>
      <c r="D111" s="263" t="s">
        <v>376</v>
      </c>
      <c r="E111" s="265" t="s">
        <v>377</v>
      </c>
      <c r="F111" s="262" t="s">
        <v>4316</v>
      </c>
      <c r="G111" s="247" t="s">
        <v>3395</v>
      </c>
      <c r="H111" s="316">
        <v>76959200</v>
      </c>
      <c r="I111" s="317">
        <v>13083064</v>
      </c>
      <c r="J111" s="527">
        <v>57546068</v>
      </c>
      <c r="K111" s="527">
        <v>6330067</v>
      </c>
      <c r="L111" s="336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3">
        <v>44958</v>
      </c>
      <c r="C112" s="328" t="s">
        <v>2671</v>
      </c>
      <c r="D112" s="263" t="s">
        <v>376</v>
      </c>
      <c r="E112" s="265" t="s">
        <v>377</v>
      </c>
      <c r="F112" s="262" t="s">
        <v>4316</v>
      </c>
      <c r="G112" s="247" t="s">
        <v>3396</v>
      </c>
      <c r="H112" s="316">
        <v>22736400</v>
      </c>
      <c r="I112" s="317">
        <v>3865188</v>
      </c>
      <c r="J112" s="527">
        <v>17001091</v>
      </c>
      <c r="K112" s="527">
        <v>1870120</v>
      </c>
      <c r="L112" s="336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3">
        <v>44958</v>
      </c>
      <c r="C113" s="328" t="s">
        <v>2672</v>
      </c>
      <c r="D113" s="263" t="s">
        <v>376</v>
      </c>
      <c r="E113" s="265" t="s">
        <v>377</v>
      </c>
      <c r="F113" s="262" t="s">
        <v>4316</v>
      </c>
      <c r="G113" s="247" t="s">
        <v>3397</v>
      </c>
      <c r="H113" s="316">
        <v>56160000</v>
      </c>
      <c r="I113" s="317">
        <v>10712520</v>
      </c>
      <c r="J113" s="527">
        <v>40943675</v>
      </c>
      <c r="K113" s="527">
        <v>4503804</v>
      </c>
      <c r="L113" s="336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3">
        <v>44958</v>
      </c>
      <c r="C114" s="328" t="s">
        <v>2673</v>
      </c>
      <c r="D114" s="263" t="s">
        <v>376</v>
      </c>
      <c r="E114" s="265" t="s">
        <v>377</v>
      </c>
      <c r="F114" s="262" t="s">
        <v>4316</v>
      </c>
      <c r="G114" s="247" t="s">
        <v>3398</v>
      </c>
      <c r="H114" s="316">
        <v>24010800</v>
      </c>
      <c r="I114" s="317">
        <v>4081836</v>
      </c>
      <c r="J114" s="527">
        <v>17954021</v>
      </c>
      <c r="K114" s="527">
        <v>1974942</v>
      </c>
      <c r="L114" s="336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3">
        <v>44959</v>
      </c>
      <c r="C115" s="328" t="s">
        <v>2674</v>
      </c>
      <c r="D115" s="263" t="s">
        <v>376</v>
      </c>
      <c r="E115" s="265" t="s">
        <v>377</v>
      </c>
      <c r="F115" s="262" t="s">
        <v>4316</v>
      </c>
      <c r="G115" s="247" t="s">
        <v>3399</v>
      </c>
      <c r="H115" s="316">
        <v>113328000</v>
      </c>
      <c r="I115" s="317">
        <v>21013740</v>
      </c>
      <c r="J115" s="527">
        <v>83166000</v>
      </c>
      <c r="K115" s="527">
        <v>9148260</v>
      </c>
      <c r="L115" s="336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3">
        <v>44959</v>
      </c>
      <c r="C116" s="328" t="s">
        <v>2675</v>
      </c>
      <c r="D116" s="263" t="s">
        <v>376</v>
      </c>
      <c r="E116" s="265" t="s">
        <v>377</v>
      </c>
      <c r="F116" s="262" t="s">
        <v>4316</v>
      </c>
      <c r="G116" s="247" t="s">
        <v>3400</v>
      </c>
      <c r="H116" s="316">
        <v>78942000</v>
      </c>
      <c r="I116" s="317">
        <v>14585460</v>
      </c>
      <c r="J116" s="527">
        <v>57978864</v>
      </c>
      <c r="K116" s="527">
        <v>6377675</v>
      </c>
      <c r="L116" s="336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3">
        <v>44594</v>
      </c>
      <c r="C117" s="328" t="s">
        <v>2676</v>
      </c>
      <c r="D117" s="263" t="s">
        <v>376</v>
      </c>
      <c r="E117" s="265" t="s">
        <v>377</v>
      </c>
      <c r="F117" s="262" t="s">
        <v>4316</v>
      </c>
      <c r="G117" s="247" t="s">
        <v>3401</v>
      </c>
      <c r="H117" s="316">
        <v>477360000</v>
      </c>
      <c r="I117" s="317">
        <v>91056420</v>
      </c>
      <c r="J117" s="527">
        <v>348021243</v>
      </c>
      <c r="K117" s="527">
        <v>38282336</v>
      </c>
      <c r="L117" s="336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3">
        <v>44960</v>
      </c>
      <c r="C118" s="328" t="s">
        <v>2677</v>
      </c>
      <c r="D118" s="263" t="s">
        <v>376</v>
      </c>
      <c r="E118" s="265" t="s">
        <v>377</v>
      </c>
      <c r="F118" s="262" t="s">
        <v>4316</v>
      </c>
      <c r="G118" s="247" t="s">
        <v>3402</v>
      </c>
      <c r="H118" s="316">
        <v>12241600</v>
      </c>
      <c r="I118" s="317">
        <v>2081072.0000000002</v>
      </c>
      <c r="J118" s="527">
        <v>9153628</v>
      </c>
      <c r="K118" s="527">
        <v>1006899</v>
      </c>
      <c r="L118" s="336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3">
        <v>44963</v>
      </c>
      <c r="C119" s="328" t="s">
        <v>2684</v>
      </c>
      <c r="D119" s="263" t="s">
        <v>376</v>
      </c>
      <c r="E119" s="265" t="s">
        <v>377</v>
      </c>
      <c r="F119" s="262" t="s">
        <v>4316</v>
      </c>
      <c r="G119" s="247" t="s">
        <v>3403</v>
      </c>
      <c r="H119" s="316">
        <v>42168400</v>
      </c>
      <c r="I119" s="317">
        <v>7168628</v>
      </c>
      <c r="J119" s="527">
        <v>31531326</v>
      </c>
      <c r="K119" s="527">
        <v>3468445</v>
      </c>
      <c r="L119" s="336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3">
        <v>44963</v>
      </c>
      <c r="C120" s="328" t="s">
        <v>2722</v>
      </c>
      <c r="D120" s="263" t="s">
        <v>376</v>
      </c>
      <c r="E120" s="265" t="s">
        <v>377</v>
      </c>
      <c r="F120" s="262" t="s">
        <v>4316</v>
      </c>
      <c r="G120" s="247" t="s">
        <v>3404</v>
      </c>
      <c r="H120" s="316">
        <v>14844000</v>
      </c>
      <c r="I120" s="317">
        <v>2523480</v>
      </c>
      <c r="J120" s="527">
        <v>11099567</v>
      </c>
      <c r="K120" s="527">
        <v>1220952</v>
      </c>
      <c r="L120" s="336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3">
        <v>44963</v>
      </c>
      <c r="C121" s="328" t="s">
        <v>2685</v>
      </c>
      <c r="D121" s="263" t="s">
        <v>376</v>
      </c>
      <c r="E121" s="265" t="s">
        <v>377</v>
      </c>
      <c r="F121" s="262" t="s">
        <v>4316</v>
      </c>
      <c r="G121" s="247" t="s">
        <v>3405</v>
      </c>
      <c r="H121" s="316">
        <v>319964400</v>
      </c>
      <c r="I121" s="317">
        <v>60919740</v>
      </c>
      <c r="J121" s="527">
        <v>233373567</v>
      </c>
      <c r="K121" s="527">
        <v>25671092</v>
      </c>
      <c r="L121" s="336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3">
        <v>44963</v>
      </c>
      <c r="C122" s="328" t="s">
        <v>2686</v>
      </c>
      <c r="D122" s="263" t="s">
        <v>376</v>
      </c>
      <c r="E122" s="265" t="s">
        <v>377</v>
      </c>
      <c r="F122" s="262" t="s">
        <v>4316</v>
      </c>
      <c r="G122" s="247" t="s">
        <v>3406</v>
      </c>
      <c r="H122" s="316">
        <v>298080000</v>
      </c>
      <c r="I122" s="317">
        <v>58095792</v>
      </c>
      <c r="J122" s="527">
        <v>216201989</v>
      </c>
      <c r="K122" s="527">
        <v>23782218</v>
      </c>
      <c r="L122" s="336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3">
        <v>44933</v>
      </c>
      <c r="C123" s="328" t="s">
        <v>2687</v>
      </c>
      <c r="D123" s="263" t="s">
        <v>376</v>
      </c>
      <c r="E123" s="265" t="s">
        <v>377</v>
      </c>
      <c r="F123" s="262" t="s">
        <v>4316</v>
      </c>
      <c r="G123" s="247" t="s">
        <v>3407</v>
      </c>
      <c r="H123" s="316">
        <v>27245600</v>
      </c>
      <c r="I123" s="317">
        <v>4631752</v>
      </c>
      <c r="J123" s="527">
        <v>20372836</v>
      </c>
      <c r="K123" s="527">
        <v>2241011</v>
      </c>
      <c r="L123" s="336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3">
        <v>44965</v>
      </c>
      <c r="C124" s="328" t="s">
        <v>3425</v>
      </c>
      <c r="D124" s="263" t="s">
        <v>376</v>
      </c>
      <c r="E124" s="265" t="s">
        <v>377</v>
      </c>
      <c r="F124" s="262" t="s">
        <v>4316</v>
      </c>
      <c r="G124" s="247" t="s">
        <v>3408</v>
      </c>
      <c r="H124" s="316">
        <v>190750000</v>
      </c>
      <c r="I124" s="317">
        <v>37058900</v>
      </c>
      <c r="J124" s="527">
        <v>138460450</v>
      </c>
      <c r="K124" s="527">
        <v>15230649</v>
      </c>
      <c r="L124" s="336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3">
        <v>44967</v>
      </c>
      <c r="C125" s="328" t="s">
        <v>2724</v>
      </c>
      <c r="D125" s="263" t="s">
        <v>376</v>
      </c>
      <c r="E125" s="265" t="s">
        <v>377</v>
      </c>
      <c r="F125" s="262" t="s">
        <v>4316</v>
      </c>
      <c r="G125" s="247" t="s">
        <v>3409</v>
      </c>
      <c r="H125" s="316">
        <v>31733600</v>
      </c>
      <c r="I125" s="317">
        <v>5394712</v>
      </c>
      <c r="J125" s="527">
        <v>23728727</v>
      </c>
      <c r="K125" s="527">
        <v>2610160</v>
      </c>
      <c r="L125" s="336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3">
        <v>44967</v>
      </c>
      <c r="C126" s="328" t="s">
        <v>2725</v>
      </c>
      <c r="D126" s="263" t="s">
        <v>376</v>
      </c>
      <c r="E126" s="265" t="s">
        <v>377</v>
      </c>
      <c r="F126" s="262" t="s">
        <v>4316</v>
      </c>
      <c r="G126" s="247" t="s">
        <v>3410</v>
      </c>
      <c r="H126" s="316">
        <v>34392000</v>
      </c>
      <c r="I126" s="317">
        <v>6025920</v>
      </c>
      <c r="J126" s="527">
        <v>25555027</v>
      </c>
      <c r="K126" s="527">
        <v>2811052</v>
      </c>
      <c r="L126" s="336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3">
        <v>44968</v>
      </c>
      <c r="C127" s="328" t="s">
        <v>2723</v>
      </c>
      <c r="D127" s="263" t="s">
        <v>376</v>
      </c>
      <c r="E127" s="265" t="s">
        <v>377</v>
      </c>
      <c r="F127" s="262" t="s">
        <v>4316</v>
      </c>
      <c r="G127" s="247" t="s">
        <v>3411</v>
      </c>
      <c r="H127" s="316">
        <v>10766400</v>
      </c>
      <c r="I127" s="317">
        <v>1830288</v>
      </c>
      <c r="J127" s="527">
        <v>8050551</v>
      </c>
      <c r="K127" s="527">
        <v>885560</v>
      </c>
      <c r="L127" s="336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3">
        <v>44970</v>
      </c>
      <c r="C128" s="328" t="s">
        <v>3010</v>
      </c>
      <c r="D128" s="263" t="s">
        <v>376</v>
      </c>
      <c r="E128" s="265" t="s">
        <v>377</v>
      </c>
      <c r="F128" s="262" t="s">
        <v>4316</v>
      </c>
      <c r="G128" s="247" t="s">
        <v>3412</v>
      </c>
      <c r="H128" s="316">
        <v>27356400</v>
      </c>
      <c r="I128" s="317">
        <v>5098788</v>
      </c>
      <c r="J128" s="527">
        <v>20051902</v>
      </c>
      <c r="K128" s="527">
        <v>2205709</v>
      </c>
      <c r="L128" s="336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3">
        <v>44973</v>
      </c>
      <c r="C129" s="328" t="s">
        <v>3008</v>
      </c>
      <c r="D129" s="263" t="s">
        <v>376</v>
      </c>
      <c r="E129" s="265" t="s">
        <v>377</v>
      </c>
      <c r="F129" s="262" t="s">
        <v>4316</v>
      </c>
      <c r="G129" s="247" t="s">
        <v>3413</v>
      </c>
      <c r="H129" s="316">
        <v>26063600</v>
      </c>
      <c r="I129" s="317">
        <v>4729612</v>
      </c>
      <c r="J129" s="527">
        <v>19219809</v>
      </c>
      <c r="K129" s="527">
        <v>2114178</v>
      </c>
      <c r="L129" s="336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3">
        <v>44974</v>
      </c>
      <c r="C130" s="328" t="s">
        <v>3422</v>
      </c>
      <c r="D130" s="263" t="s">
        <v>376</v>
      </c>
      <c r="E130" s="265" t="s">
        <v>377</v>
      </c>
      <c r="F130" s="262" t="s">
        <v>4316</v>
      </c>
      <c r="G130" s="248" t="s">
        <v>3414</v>
      </c>
      <c r="H130" s="316">
        <v>11760000</v>
      </c>
      <c r="I130" s="317">
        <v>1999200</v>
      </c>
      <c r="J130" s="527">
        <v>8793513</v>
      </c>
      <c r="K130" s="527">
        <v>967286</v>
      </c>
      <c r="L130" s="336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3">
        <v>44977</v>
      </c>
      <c r="C131" s="328" t="s">
        <v>3423</v>
      </c>
      <c r="D131" s="263" t="s">
        <v>376</v>
      </c>
      <c r="E131" s="265" t="s">
        <v>377</v>
      </c>
      <c r="F131" s="262" t="s">
        <v>4316</v>
      </c>
      <c r="G131" s="265" t="s">
        <v>3415</v>
      </c>
      <c r="H131" s="316">
        <v>3100000</v>
      </c>
      <c r="I131" s="317">
        <v>527000</v>
      </c>
      <c r="J131" s="527">
        <v>2318018</v>
      </c>
      <c r="K131" s="527">
        <v>254981</v>
      </c>
      <c r="L131" s="336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3">
        <v>44978</v>
      </c>
      <c r="C132" s="328" t="s">
        <v>3424</v>
      </c>
      <c r="D132" s="263" t="s">
        <v>376</v>
      </c>
      <c r="E132" s="265" t="s">
        <v>377</v>
      </c>
      <c r="F132" s="262" t="s">
        <v>4316</v>
      </c>
      <c r="G132" s="265" t="s">
        <v>3416</v>
      </c>
      <c r="H132" s="316">
        <v>29080800</v>
      </c>
      <c r="I132" s="317">
        <v>4943736</v>
      </c>
      <c r="J132" s="527">
        <v>21745102</v>
      </c>
      <c r="K132" s="527">
        <v>2391961</v>
      </c>
      <c r="L132" s="336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3">
        <v>44980</v>
      </c>
      <c r="C133" s="328" t="s">
        <v>3256</v>
      </c>
      <c r="D133" s="263" t="s">
        <v>376</v>
      </c>
      <c r="E133" s="265" t="s">
        <v>377</v>
      </c>
      <c r="F133" s="262" t="s">
        <v>4316</v>
      </c>
      <c r="G133" s="247" t="s">
        <v>3417</v>
      </c>
      <c r="H133" s="316">
        <v>54432000</v>
      </c>
      <c r="I133" s="317">
        <v>9253440</v>
      </c>
      <c r="J133" s="527">
        <v>40701405</v>
      </c>
      <c r="K133" s="527">
        <v>4477154</v>
      </c>
      <c r="L133" s="336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3">
        <v>44981</v>
      </c>
      <c r="C134" s="328" t="s">
        <v>3257</v>
      </c>
      <c r="D134" s="263" t="s">
        <v>376</v>
      </c>
      <c r="E134" s="265" t="s">
        <v>377</v>
      </c>
      <c r="F134" s="262" t="s">
        <v>4316</v>
      </c>
      <c r="G134" s="247" t="s">
        <v>3418</v>
      </c>
      <c r="H134" s="316">
        <v>11232000</v>
      </c>
      <c r="I134" s="317">
        <v>1909440</v>
      </c>
      <c r="J134" s="527">
        <v>8398702</v>
      </c>
      <c r="K134" s="527">
        <v>923857</v>
      </c>
      <c r="L134" s="336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3">
        <v>44982</v>
      </c>
      <c r="C135" s="328" t="s">
        <v>3258</v>
      </c>
      <c r="D135" s="263" t="s">
        <v>376</v>
      </c>
      <c r="E135" s="265" t="s">
        <v>377</v>
      </c>
      <c r="F135" s="262" t="s">
        <v>4316</v>
      </c>
      <c r="G135" s="247" t="s">
        <v>3419</v>
      </c>
      <c r="H135" s="316">
        <v>49334400</v>
      </c>
      <c r="I135" s="317">
        <v>8969508</v>
      </c>
      <c r="J135" s="527">
        <v>36364767</v>
      </c>
      <c r="K135" s="527">
        <v>4000124</v>
      </c>
      <c r="L135" s="336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3">
        <v>44984</v>
      </c>
      <c r="C136" s="328" t="s">
        <v>3635</v>
      </c>
      <c r="D136" s="263" t="s">
        <v>303</v>
      </c>
      <c r="E136" s="265" t="s">
        <v>373</v>
      </c>
      <c r="F136" s="262" t="s">
        <v>4317</v>
      </c>
      <c r="G136" s="247" t="s">
        <v>3646</v>
      </c>
      <c r="H136" s="316">
        <v>6000000</v>
      </c>
      <c r="I136" s="317">
        <v>0</v>
      </c>
      <c r="J136" s="527">
        <v>5405407</v>
      </c>
      <c r="K136" s="527">
        <v>594594</v>
      </c>
      <c r="L136" s="336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1">
        <v>44974</v>
      </c>
      <c r="B137" s="742">
        <v>44972</v>
      </c>
      <c r="C137" s="743" t="s">
        <v>2751</v>
      </c>
      <c r="D137" s="524" t="s">
        <v>298</v>
      </c>
      <c r="E137" s="523" t="s">
        <v>374</v>
      </c>
      <c r="F137" s="522" t="s">
        <v>375</v>
      </c>
      <c r="G137" s="744" t="s">
        <v>3393</v>
      </c>
      <c r="H137" s="745">
        <v>9072000</v>
      </c>
      <c r="I137" s="746">
        <v>0</v>
      </c>
      <c r="J137" s="747">
        <v>8172864</v>
      </c>
      <c r="K137" s="747">
        <v>899015</v>
      </c>
      <c r="L137" s="748">
        <f t="shared" si="20"/>
        <v>9071879</v>
      </c>
      <c r="M137" s="745">
        <f t="shared" si="21"/>
        <v>9072000</v>
      </c>
    </row>
    <row r="138" spans="1:13" ht="18.75" thickBot="1" x14ac:dyDescent="0.3">
      <c r="A138" s="735" t="s">
        <v>38</v>
      </c>
      <c r="B138" s="736"/>
      <c r="C138" s="737"/>
      <c r="D138" s="738"/>
      <c r="E138" s="739"/>
      <c r="F138" s="739"/>
      <c r="G138" s="740"/>
      <c r="H138" s="734">
        <f>SUM(H79:H137)</f>
        <v>2720097429.125</v>
      </c>
      <c r="I138" s="734"/>
      <c r="J138" s="734">
        <f>SUM(J79:J137)</f>
        <v>2098650932</v>
      </c>
      <c r="K138" s="734">
        <f>SUM(K79:K137)</f>
        <v>230851574</v>
      </c>
      <c r="L138" s="734">
        <f>SUM(L79:L137)</f>
        <v>2329502506</v>
      </c>
      <c r="M138" s="734">
        <f>SUM(M79:M137)</f>
        <v>2329502682.125</v>
      </c>
    </row>
    <row r="139" spans="1:13" ht="18" x14ac:dyDescent="0.25">
      <c r="A139" s="700" t="s">
        <v>100</v>
      </c>
      <c r="B139" s="700"/>
      <c r="C139" s="701"/>
      <c r="D139" s="702"/>
      <c r="E139" s="703"/>
      <c r="F139" s="703"/>
      <c r="G139" s="702"/>
      <c r="H139" s="704"/>
      <c r="I139" s="704"/>
      <c r="J139" s="705"/>
      <c r="K139" s="705"/>
      <c r="L139" s="706"/>
      <c r="M139" s="707"/>
    </row>
    <row r="140" spans="1:13" s="248" customFormat="1" x14ac:dyDescent="0.25">
      <c r="A140" s="264">
        <v>45000</v>
      </c>
      <c r="B140" s="433">
        <v>44995</v>
      </c>
      <c r="C140" s="328" t="s">
        <v>3689</v>
      </c>
      <c r="D140" s="263" t="s">
        <v>378</v>
      </c>
      <c r="E140" s="265" t="s">
        <v>379</v>
      </c>
      <c r="F140" s="262" t="s">
        <v>380</v>
      </c>
      <c r="G140" s="247" t="s">
        <v>4149</v>
      </c>
      <c r="H140" s="316">
        <v>13680000</v>
      </c>
      <c r="I140" s="317">
        <v>684000</v>
      </c>
      <c r="J140" s="527">
        <v>11708108</v>
      </c>
      <c r="K140" s="527">
        <v>1287892</v>
      </c>
      <c r="L140" s="336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3">
        <v>45015</v>
      </c>
      <c r="C141" s="328" t="s">
        <v>3932</v>
      </c>
      <c r="D141" s="263" t="s">
        <v>378</v>
      </c>
      <c r="E141" s="265" t="s">
        <v>379</v>
      </c>
      <c r="F141" s="262" t="s">
        <v>380</v>
      </c>
      <c r="G141" s="247" t="s">
        <v>4150</v>
      </c>
      <c r="H141" s="316">
        <v>34200000</v>
      </c>
      <c r="I141" s="317">
        <v>1710000</v>
      </c>
      <c r="J141" s="527">
        <v>29270270</v>
      </c>
      <c r="K141" s="527">
        <v>3219730</v>
      </c>
      <c r="L141" s="336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3">
        <v>44998</v>
      </c>
      <c r="C142" s="328" t="s">
        <v>3688</v>
      </c>
      <c r="D142" s="263" t="s">
        <v>397</v>
      </c>
      <c r="E142" s="265" t="s">
        <v>7135</v>
      </c>
      <c r="F142" s="262" t="s">
        <v>396</v>
      </c>
      <c r="G142" s="247" t="s">
        <v>4157</v>
      </c>
      <c r="H142" s="316">
        <v>3668550.0000000005</v>
      </c>
      <c r="I142" s="317">
        <v>0</v>
      </c>
      <c r="J142" s="527">
        <v>3305000</v>
      </c>
      <c r="K142" s="527">
        <v>363550</v>
      </c>
      <c r="L142" s="336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3">
        <v>45002</v>
      </c>
      <c r="C143" s="328" t="s">
        <v>3724</v>
      </c>
      <c r="D143" s="263" t="s">
        <v>397</v>
      </c>
      <c r="E143" s="265" t="s">
        <v>7135</v>
      </c>
      <c r="F143" s="262" t="s">
        <v>396</v>
      </c>
      <c r="G143" s="247" t="s">
        <v>4158</v>
      </c>
      <c r="H143" s="316">
        <v>1428570.0000000002</v>
      </c>
      <c r="I143" s="317">
        <v>0</v>
      </c>
      <c r="J143" s="527">
        <v>1287000</v>
      </c>
      <c r="K143" s="527">
        <v>141570</v>
      </c>
      <c r="L143" s="336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3">
        <v>44986</v>
      </c>
      <c r="C144" s="328" t="s">
        <v>3732</v>
      </c>
      <c r="D144" s="263" t="s">
        <v>297</v>
      </c>
      <c r="E144" s="265" t="s">
        <v>369</v>
      </c>
      <c r="F144" s="262" t="s">
        <v>395</v>
      </c>
      <c r="G144" s="247" t="s">
        <v>3763</v>
      </c>
      <c r="H144" s="316">
        <v>24647061.25</v>
      </c>
      <c r="I144" s="317">
        <v>2205748</v>
      </c>
      <c r="J144" s="527">
        <v>20217399</v>
      </c>
      <c r="K144" s="527">
        <v>2223913</v>
      </c>
      <c r="L144" s="336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3">
        <v>44986</v>
      </c>
      <c r="C145" s="328" t="s">
        <v>3733</v>
      </c>
      <c r="D145" s="263" t="s">
        <v>297</v>
      </c>
      <c r="E145" s="265" t="s">
        <v>369</v>
      </c>
      <c r="F145" s="262" t="s">
        <v>395</v>
      </c>
      <c r="G145" s="247" t="s">
        <v>3762</v>
      </c>
      <c r="H145" s="316">
        <v>10334100</v>
      </c>
      <c r="I145" s="317">
        <v>0</v>
      </c>
      <c r="J145" s="527">
        <v>9310000</v>
      </c>
      <c r="K145" s="527">
        <v>1024100</v>
      </c>
      <c r="L145" s="336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3">
        <v>44987</v>
      </c>
      <c r="C146" s="328" t="s">
        <v>3734</v>
      </c>
      <c r="D146" s="263" t="s">
        <v>297</v>
      </c>
      <c r="E146" s="265" t="s">
        <v>369</v>
      </c>
      <c r="F146" s="262" t="s">
        <v>395</v>
      </c>
      <c r="G146" s="247" t="s">
        <v>3761</v>
      </c>
      <c r="H146" s="316">
        <v>16957500</v>
      </c>
      <c r="I146" s="317">
        <v>0</v>
      </c>
      <c r="J146" s="527">
        <v>15277027</v>
      </c>
      <c r="K146" s="527">
        <v>1680472</v>
      </c>
      <c r="L146" s="336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3">
        <v>44988</v>
      </c>
      <c r="C147" s="328" t="s">
        <v>3735</v>
      </c>
      <c r="D147" s="263" t="s">
        <v>297</v>
      </c>
      <c r="E147" s="265" t="s">
        <v>369</v>
      </c>
      <c r="F147" s="262" t="s">
        <v>395</v>
      </c>
      <c r="G147" s="247" t="s">
        <v>3760</v>
      </c>
      <c r="H147" s="316">
        <v>7205940</v>
      </c>
      <c r="I147" s="317">
        <v>0</v>
      </c>
      <c r="J147" s="527">
        <v>6491837</v>
      </c>
      <c r="K147" s="527">
        <v>714102</v>
      </c>
      <c r="L147" s="336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3">
        <v>44989</v>
      </c>
      <c r="C148" s="328" t="s">
        <v>3630</v>
      </c>
      <c r="D148" s="263" t="s">
        <v>297</v>
      </c>
      <c r="E148" s="265" t="s">
        <v>369</v>
      </c>
      <c r="F148" s="262" t="s">
        <v>395</v>
      </c>
      <c r="G148" s="247" t="s">
        <v>3759</v>
      </c>
      <c r="H148" s="316">
        <v>9626734.75</v>
      </c>
      <c r="I148" s="317">
        <v>144666</v>
      </c>
      <c r="J148" s="527">
        <v>8542404</v>
      </c>
      <c r="K148" s="527">
        <v>939664</v>
      </c>
      <c r="L148" s="336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3">
        <v>44991</v>
      </c>
      <c r="C149" s="328" t="s">
        <v>3631</v>
      </c>
      <c r="D149" s="263" t="s">
        <v>297</v>
      </c>
      <c r="E149" s="265" t="s">
        <v>369</v>
      </c>
      <c r="F149" s="262" t="s">
        <v>395</v>
      </c>
      <c r="G149" s="247" t="s">
        <v>3758</v>
      </c>
      <c r="H149" s="316">
        <v>6463800</v>
      </c>
      <c r="I149" s="317">
        <v>0</v>
      </c>
      <c r="J149" s="527">
        <v>5823243</v>
      </c>
      <c r="K149" s="527">
        <v>640556</v>
      </c>
      <c r="L149" s="336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3">
        <v>44992</v>
      </c>
      <c r="C150" s="328" t="s">
        <v>3632</v>
      </c>
      <c r="D150" s="263" t="s">
        <v>297</v>
      </c>
      <c r="E150" s="265" t="s">
        <v>369</v>
      </c>
      <c r="F150" s="262" t="s">
        <v>395</v>
      </c>
      <c r="G150" s="247" t="s">
        <v>3757</v>
      </c>
      <c r="H150" s="316">
        <v>5901875</v>
      </c>
      <c r="I150" s="317">
        <v>0</v>
      </c>
      <c r="J150" s="527">
        <v>5317004</v>
      </c>
      <c r="K150" s="527">
        <v>584870</v>
      </c>
      <c r="L150" s="336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3">
        <v>44993</v>
      </c>
      <c r="C151" s="328" t="s">
        <v>3633</v>
      </c>
      <c r="D151" s="263" t="s">
        <v>297</v>
      </c>
      <c r="E151" s="265" t="s">
        <v>369</v>
      </c>
      <c r="F151" s="262" t="s">
        <v>395</v>
      </c>
      <c r="G151" s="247" t="s">
        <v>3756</v>
      </c>
      <c r="H151" s="316">
        <v>11619564</v>
      </c>
      <c r="I151" s="317">
        <v>96444</v>
      </c>
      <c r="J151" s="527">
        <v>10381189</v>
      </c>
      <c r="K151" s="527">
        <v>1141930</v>
      </c>
      <c r="L151" s="336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3">
        <v>44993</v>
      </c>
      <c r="C152" s="328" t="s">
        <v>3634</v>
      </c>
      <c r="D152" s="263" t="s">
        <v>297</v>
      </c>
      <c r="E152" s="265" t="s">
        <v>369</v>
      </c>
      <c r="F152" s="262" t="s">
        <v>395</v>
      </c>
      <c r="G152" s="247" t="s">
        <v>3755</v>
      </c>
      <c r="H152" s="316">
        <v>7343433.5</v>
      </c>
      <c r="I152" s="317">
        <v>24111</v>
      </c>
      <c r="J152" s="527">
        <v>6593984</v>
      </c>
      <c r="K152" s="527">
        <v>725338</v>
      </c>
      <c r="L152" s="336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3">
        <v>44994</v>
      </c>
      <c r="C153" s="328" t="s">
        <v>3680</v>
      </c>
      <c r="D153" s="263" t="s">
        <v>297</v>
      </c>
      <c r="E153" s="265" t="s">
        <v>369</v>
      </c>
      <c r="F153" s="262" t="s">
        <v>395</v>
      </c>
      <c r="G153" s="247" t="s">
        <v>3754</v>
      </c>
      <c r="H153" s="316">
        <v>5368231.5</v>
      </c>
      <c r="I153" s="317">
        <v>96444</v>
      </c>
      <c r="J153" s="527">
        <v>4749358</v>
      </c>
      <c r="K153" s="527">
        <v>522429</v>
      </c>
      <c r="L153" s="336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3">
        <v>44996</v>
      </c>
      <c r="C154" s="328" t="s">
        <v>3681</v>
      </c>
      <c r="D154" s="263" t="s">
        <v>297</v>
      </c>
      <c r="E154" s="265" t="s">
        <v>369</v>
      </c>
      <c r="F154" s="262" t="s">
        <v>395</v>
      </c>
      <c r="G154" s="247" t="s">
        <v>3753</v>
      </c>
      <c r="H154" s="316">
        <v>37808907.5</v>
      </c>
      <c r="I154" s="317">
        <v>0</v>
      </c>
      <c r="J154" s="527">
        <v>34062078</v>
      </c>
      <c r="K154" s="527">
        <v>3746828</v>
      </c>
      <c r="L154" s="336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3">
        <v>44996</v>
      </c>
      <c r="C155" s="328" t="s">
        <v>3682</v>
      </c>
      <c r="D155" s="263" t="s">
        <v>297</v>
      </c>
      <c r="E155" s="265" t="s">
        <v>369</v>
      </c>
      <c r="F155" s="262" t="s">
        <v>395</v>
      </c>
      <c r="G155" s="247" t="s">
        <v>3752</v>
      </c>
      <c r="H155" s="316">
        <v>21668692.5</v>
      </c>
      <c r="I155" s="317">
        <v>0</v>
      </c>
      <c r="J155" s="527">
        <v>19521344</v>
      </c>
      <c r="K155" s="527">
        <v>2147347</v>
      </c>
      <c r="L155" s="336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3">
        <v>44996</v>
      </c>
      <c r="C156" s="328" t="s">
        <v>3683</v>
      </c>
      <c r="D156" s="263" t="s">
        <v>297</v>
      </c>
      <c r="E156" s="265" t="s">
        <v>369</v>
      </c>
      <c r="F156" s="262" t="s">
        <v>395</v>
      </c>
      <c r="G156" s="247" t="s">
        <v>3751</v>
      </c>
      <c r="H156" s="316">
        <v>6594344.25</v>
      </c>
      <c r="I156" s="317">
        <v>192888</v>
      </c>
      <c r="J156" s="527">
        <v>5767077</v>
      </c>
      <c r="K156" s="527">
        <v>634378</v>
      </c>
      <c r="L156" s="336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3">
        <v>44999</v>
      </c>
      <c r="C157" s="328" t="s">
        <v>3684</v>
      </c>
      <c r="D157" s="263" t="s">
        <v>297</v>
      </c>
      <c r="E157" s="265" t="s">
        <v>369</v>
      </c>
      <c r="F157" s="262" t="s">
        <v>395</v>
      </c>
      <c r="G157" s="247" t="s">
        <v>3750</v>
      </c>
      <c r="H157" s="316">
        <v>8762040</v>
      </c>
      <c r="I157" s="317">
        <v>0</v>
      </c>
      <c r="J157" s="527">
        <v>7893729</v>
      </c>
      <c r="K157" s="527">
        <v>868310</v>
      </c>
      <c r="L157" s="336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3">
        <v>45002</v>
      </c>
      <c r="C158" s="328" t="s">
        <v>3717</v>
      </c>
      <c r="D158" s="263" t="s">
        <v>297</v>
      </c>
      <c r="E158" s="265" t="s">
        <v>369</v>
      </c>
      <c r="F158" s="262" t="s">
        <v>395</v>
      </c>
      <c r="G158" s="247" t="s">
        <v>4124</v>
      </c>
      <c r="H158" s="316">
        <v>58742941.25</v>
      </c>
      <c r="I158" s="317">
        <v>0</v>
      </c>
      <c r="J158" s="527">
        <v>52921568</v>
      </c>
      <c r="K158" s="527">
        <v>5821372</v>
      </c>
      <c r="L158" s="336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3">
        <v>45002</v>
      </c>
      <c r="C159" s="328" t="s">
        <v>3718</v>
      </c>
      <c r="D159" s="263" t="s">
        <v>297</v>
      </c>
      <c r="E159" s="265" t="s">
        <v>369</v>
      </c>
      <c r="F159" s="262" t="s">
        <v>395</v>
      </c>
      <c r="G159" s="247" t="s">
        <v>4125</v>
      </c>
      <c r="H159" s="316">
        <v>12771990</v>
      </c>
      <c r="I159" s="317">
        <v>0</v>
      </c>
      <c r="J159" s="527">
        <v>11506297</v>
      </c>
      <c r="K159" s="527">
        <v>1265692</v>
      </c>
      <c r="L159" s="336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3">
        <v>45003</v>
      </c>
      <c r="C160" s="328" t="s">
        <v>3719</v>
      </c>
      <c r="D160" s="263" t="s">
        <v>297</v>
      </c>
      <c r="E160" s="265" t="s">
        <v>369</v>
      </c>
      <c r="F160" s="262" t="s">
        <v>395</v>
      </c>
      <c r="G160" s="247" t="s">
        <v>4126</v>
      </c>
      <c r="H160" s="316">
        <v>2082281.25</v>
      </c>
      <c r="I160" s="317">
        <v>0</v>
      </c>
      <c r="J160" s="527">
        <v>1875929</v>
      </c>
      <c r="K160" s="527">
        <v>206352</v>
      </c>
      <c r="L160" s="336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3">
        <v>45005</v>
      </c>
      <c r="C161" s="328" t="s">
        <v>3720</v>
      </c>
      <c r="D161" s="263" t="s">
        <v>297</v>
      </c>
      <c r="E161" s="265" t="s">
        <v>369</v>
      </c>
      <c r="F161" s="262" t="s">
        <v>395</v>
      </c>
      <c r="G161" s="247" t="s">
        <v>4127</v>
      </c>
      <c r="H161" s="316">
        <v>7462463.75</v>
      </c>
      <c r="I161" s="317">
        <v>0</v>
      </c>
      <c r="J161" s="527">
        <v>6722940</v>
      </c>
      <c r="K161" s="527">
        <v>739523</v>
      </c>
      <c r="L161" s="336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3">
        <v>45008</v>
      </c>
      <c r="C162" s="328" t="s">
        <v>3737</v>
      </c>
      <c r="D162" s="263" t="s">
        <v>297</v>
      </c>
      <c r="E162" s="265" t="s">
        <v>369</v>
      </c>
      <c r="F162" s="262" t="s">
        <v>395</v>
      </c>
      <c r="G162" s="247" t="s">
        <v>4128</v>
      </c>
      <c r="H162" s="316">
        <v>2082281.25</v>
      </c>
      <c r="I162" s="317">
        <v>0</v>
      </c>
      <c r="J162" s="527">
        <v>1875929</v>
      </c>
      <c r="K162" s="527">
        <v>206352</v>
      </c>
      <c r="L162" s="336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3">
        <v>45009</v>
      </c>
      <c r="C163" s="328" t="s">
        <v>3738</v>
      </c>
      <c r="D163" s="263" t="s">
        <v>297</v>
      </c>
      <c r="E163" s="265" t="s">
        <v>369</v>
      </c>
      <c r="F163" s="262" t="s">
        <v>395</v>
      </c>
      <c r="G163" s="247" t="s">
        <v>4129</v>
      </c>
      <c r="H163" s="316">
        <v>9408420</v>
      </c>
      <c r="I163" s="317">
        <v>0</v>
      </c>
      <c r="J163" s="527">
        <v>8476054</v>
      </c>
      <c r="K163" s="527">
        <v>932365</v>
      </c>
      <c r="L163" s="336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3">
        <v>45010</v>
      </c>
      <c r="C164" s="328" t="s">
        <v>3739</v>
      </c>
      <c r="D164" s="263" t="s">
        <v>297</v>
      </c>
      <c r="E164" s="265" t="s">
        <v>369</v>
      </c>
      <c r="F164" s="262" t="s">
        <v>395</v>
      </c>
      <c r="G164" s="247" t="s">
        <v>4130</v>
      </c>
      <c r="H164" s="316">
        <v>5099220</v>
      </c>
      <c r="I164" s="317">
        <v>0</v>
      </c>
      <c r="J164" s="527">
        <v>4593891</v>
      </c>
      <c r="K164" s="527">
        <v>505328</v>
      </c>
      <c r="L164" s="336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3">
        <v>45013</v>
      </c>
      <c r="C165" s="328" t="s">
        <v>3927</v>
      </c>
      <c r="D165" s="263" t="s">
        <v>297</v>
      </c>
      <c r="E165" s="265" t="s">
        <v>369</v>
      </c>
      <c r="F165" s="262" t="s">
        <v>395</v>
      </c>
      <c r="G165" s="247" t="s">
        <v>4131</v>
      </c>
      <c r="H165" s="316">
        <v>30873622.5</v>
      </c>
      <c r="I165" s="317">
        <v>0</v>
      </c>
      <c r="J165" s="527">
        <v>27814074</v>
      </c>
      <c r="K165" s="527">
        <v>3059548</v>
      </c>
      <c r="L165" s="336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3">
        <v>45013</v>
      </c>
      <c r="C166" s="328" t="s">
        <v>3928</v>
      </c>
      <c r="D166" s="263" t="s">
        <v>297</v>
      </c>
      <c r="E166" s="265" t="s">
        <v>369</v>
      </c>
      <c r="F166" s="262" t="s">
        <v>395</v>
      </c>
      <c r="G166" s="247" t="s">
        <v>4123</v>
      </c>
      <c r="H166" s="316">
        <v>2350110</v>
      </c>
      <c r="I166" s="317">
        <v>0</v>
      </c>
      <c r="J166" s="527">
        <v>2117216</v>
      </c>
      <c r="K166" s="527">
        <v>232893</v>
      </c>
      <c r="L166" s="336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3">
        <v>44992</v>
      </c>
      <c r="C167" s="328" t="s">
        <v>3690</v>
      </c>
      <c r="D167" s="524" t="s">
        <v>302</v>
      </c>
      <c r="E167" s="523" t="s">
        <v>370</v>
      </c>
      <c r="F167" s="522" t="s">
        <v>371</v>
      </c>
      <c r="G167" s="247" t="s">
        <v>3691</v>
      </c>
      <c r="H167" s="316">
        <f>3694861.17*111/100</f>
        <v>4101295.8987000003</v>
      </c>
      <c r="I167" s="317">
        <v>0</v>
      </c>
      <c r="J167" s="527">
        <v>3694865</v>
      </c>
      <c r="K167" s="527">
        <v>406435</v>
      </c>
      <c r="L167" s="336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3">
        <v>44996</v>
      </c>
      <c r="C168" s="328" t="s">
        <v>3722</v>
      </c>
      <c r="D168" s="263" t="s">
        <v>299</v>
      </c>
      <c r="E168" s="265" t="s">
        <v>372</v>
      </c>
      <c r="F168" s="262" t="s">
        <v>6274</v>
      </c>
      <c r="G168" s="247" t="s">
        <v>4097</v>
      </c>
      <c r="H168" s="316">
        <v>7980000</v>
      </c>
      <c r="I168" s="317">
        <v>0</v>
      </c>
      <c r="J168" s="527">
        <v>7189189</v>
      </c>
      <c r="K168" s="527">
        <v>790810</v>
      </c>
      <c r="L168" s="336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3">
        <v>45002</v>
      </c>
      <c r="C169" s="328" t="s">
        <v>3723</v>
      </c>
      <c r="D169" s="263" t="s">
        <v>299</v>
      </c>
      <c r="E169" s="265" t="s">
        <v>372</v>
      </c>
      <c r="F169" s="262" t="s">
        <v>6274</v>
      </c>
      <c r="G169" s="247" t="s">
        <v>4098</v>
      </c>
      <c r="H169" s="316">
        <v>4688250</v>
      </c>
      <c r="I169" s="317">
        <v>0</v>
      </c>
      <c r="J169" s="527">
        <v>4223648</v>
      </c>
      <c r="K169" s="527">
        <v>464601</v>
      </c>
      <c r="L169" s="336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3">
        <v>45013</v>
      </c>
      <c r="C170" s="328" t="s">
        <v>3929</v>
      </c>
      <c r="D170" s="263" t="s">
        <v>299</v>
      </c>
      <c r="E170" s="265" t="s">
        <v>372</v>
      </c>
      <c r="F170" s="262" t="s">
        <v>6274</v>
      </c>
      <c r="G170" s="247" t="s">
        <v>4099</v>
      </c>
      <c r="H170" s="316">
        <v>41548500</v>
      </c>
      <c r="I170" s="317">
        <v>0</v>
      </c>
      <c r="J170" s="527">
        <v>37431081</v>
      </c>
      <c r="K170" s="527">
        <v>4117418</v>
      </c>
      <c r="L170" s="336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3">
        <v>45013</v>
      </c>
      <c r="C171" s="328" t="s">
        <v>3930</v>
      </c>
      <c r="D171" s="263" t="s">
        <v>299</v>
      </c>
      <c r="E171" s="265" t="s">
        <v>372</v>
      </c>
      <c r="F171" s="262" t="s">
        <v>6274</v>
      </c>
      <c r="G171" s="247" t="s">
        <v>4100</v>
      </c>
      <c r="H171" s="316">
        <v>36351000</v>
      </c>
      <c r="I171" s="317">
        <v>0</v>
      </c>
      <c r="J171" s="527">
        <v>32748648</v>
      </c>
      <c r="K171" s="527">
        <v>3602351</v>
      </c>
      <c r="L171" s="336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3">
        <v>45015</v>
      </c>
      <c r="C172" s="328" t="s">
        <v>3931</v>
      </c>
      <c r="D172" s="263" t="s">
        <v>299</v>
      </c>
      <c r="E172" s="265" t="s">
        <v>372</v>
      </c>
      <c r="F172" s="262" t="s">
        <v>6274</v>
      </c>
      <c r="G172" s="247" t="s">
        <v>4101</v>
      </c>
      <c r="H172" s="316">
        <v>26979750</v>
      </c>
      <c r="I172" s="317">
        <v>0</v>
      </c>
      <c r="J172" s="527">
        <v>24306081</v>
      </c>
      <c r="K172" s="527">
        <v>2673668</v>
      </c>
      <c r="L172" s="336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3">
        <v>44986</v>
      </c>
      <c r="C173" s="328" t="s">
        <v>3624</v>
      </c>
      <c r="D173" s="263" t="s">
        <v>376</v>
      </c>
      <c r="E173" s="265" t="s">
        <v>377</v>
      </c>
      <c r="F173" s="262" t="s">
        <v>4316</v>
      </c>
      <c r="G173" s="247" t="s">
        <v>3692</v>
      </c>
      <c r="H173" s="316">
        <v>28811200</v>
      </c>
      <c r="I173" s="317">
        <v>4897904</v>
      </c>
      <c r="J173" s="527">
        <v>21543509</v>
      </c>
      <c r="K173" s="527">
        <v>2369786</v>
      </c>
      <c r="L173" s="336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3">
        <v>44986</v>
      </c>
      <c r="C174" s="328" t="s">
        <v>3625</v>
      </c>
      <c r="D174" s="263" t="s">
        <v>376</v>
      </c>
      <c r="E174" s="265" t="s">
        <v>377</v>
      </c>
      <c r="F174" s="262" t="s">
        <v>4316</v>
      </c>
      <c r="G174" s="247" t="s">
        <v>3693</v>
      </c>
      <c r="H174" s="316">
        <v>6156000</v>
      </c>
      <c r="I174" s="317">
        <v>1046520</v>
      </c>
      <c r="J174" s="527">
        <v>4603135</v>
      </c>
      <c r="K174" s="527">
        <v>506344</v>
      </c>
      <c r="L174" s="336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3">
        <v>44986</v>
      </c>
      <c r="C175" s="328" t="s">
        <v>3726</v>
      </c>
      <c r="D175" s="263" t="s">
        <v>376</v>
      </c>
      <c r="E175" s="265" t="s">
        <v>377</v>
      </c>
      <c r="F175" s="262" t="s">
        <v>4316</v>
      </c>
      <c r="G175" s="247" t="s">
        <v>3694</v>
      </c>
      <c r="H175" s="316">
        <v>33708000</v>
      </c>
      <c r="I175" s="317">
        <v>5730360</v>
      </c>
      <c r="J175" s="527">
        <v>25205081</v>
      </c>
      <c r="K175" s="527">
        <v>2772558</v>
      </c>
      <c r="L175" s="336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3">
        <v>44986</v>
      </c>
      <c r="C176" s="328" t="s">
        <v>3727</v>
      </c>
      <c r="D176" s="263" t="s">
        <v>376</v>
      </c>
      <c r="E176" s="265" t="s">
        <v>377</v>
      </c>
      <c r="F176" s="262" t="s">
        <v>4316</v>
      </c>
      <c r="G176" s="247" t="s">
        <v>3695</v>
      </c>
      <c r="H176" s="316">
        <v>2250000</v>
      </c>
      <c r="I176" s="317">
        <v>382500</v>
      </c>
      <c r="J176" s="527">
        <v>1682432</v>
      </c>
      <c r="K176" s="527">
        <v>185067</v>
      </c>
      <c r="L176" s="336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3">
        <v>44987</v>
      </c>
      <c r="C177" s="328" t="s">
        <v>3728</v>
      </c>
      <c r="D177" s="263" t="s">
        <v>376</v>
      </c>
      <c r="E177" s="265" t="s">
        <v>377</v>
      </c>
      <c r="F177" s="262" t="s">
        <v>4316</v>
      </c>
      <c r="G177" s="247" t="s">
        <v>3696</v>
      </c>
      <c r="H177" s="316">
        <v>46510000</v>
      </c>
      <c r="I177" s="317">
        <v>7906700</v>
      </c>
      <c r="J177" s="527">
        <v>34777747</v>
      </c>
      <c r="K177" s="527">
        <v>3825552</v>
      </c>
      <c r="L177" s="336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3">
        <v>44987</v>
      </c>
      <c r="C178" s="328" t="s">
        <v>3729</v>
      </c>
      <c r="D178" s="263" t="s">
        <v>376</v>
      </c>
      <c r="E178" s="265" t="s">
        <v>377</v>
      </c>
      <c r="F178" s="262" t="s">
        <v>4316</v>
      </c>
      <c r="G178" s="247" t="s">
        <v>3697</v>
      </c>
      <c r="H178" s="316">
        <v>18556000</v>
      </c>
      <c r="I178" s="317">
        <v>3154520</v>
      </c>
      <c r="J178" s="527">
        <v>13875207</v>
      </c>
      <c r="K178" s="527">
        <v>1526272</v>
      </c>
      <c r="L178" s="336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3">
        <v>44988</v>
      </c>
      <c r="C179" s="328" t="s">
        <v>3730</v>
      </c>
      <c r="D179" s="263" t="s">
        <v>376</v>
      </c>
      <c r="E179" s="265" t="s">
        <v>377</v>
      </c>
      <c r="F179" s="262" t="s">
        <v>4316</v>
      </c>
      <c r="G179" s="247" t="s">
        <v>3698</v>
      </c>
      <c r="H179" s="316">
        <v>9800000</v>
      </c>
      <c r="I179" s="317">
        <v>1666000</v>
      </c>
      <c r="J179" s="527">
        <v>7327927</v>
      </c>
      <c r="K179" s="527">
        <v>806072</v>
      </c>
      <c r="L179" s="336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3">
        <v>44988</v>
      </c>
      <c r="C180" s="328" t="s">
        <v>3731</v>
      </c>
      <c r="D180" s="263" t="s">
        <v>376</v>
      </c>
      <c r="E180" s="265" t="s">
        <v>377</v>
      </c>
      <c r="F180" s="262" t="s">
        <v>4316</v>
      </c>
      <c r="G180" s="247" t="s">
        <v>3699</v>
      </c>
      <c r="H180" s="316">
        <v>25992000</v>
      </c>
      <c r="I180" s="317">
        <v>4418640</v>
      </c>
      <c r="J180" s="527">
        <v>19435459</v>
      </c>
      <c r="K180" s="527">
        <v>2137900</v>
      </c>
      <c r="L180" s="336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3">
        <v>44991</v>
      </c>
      <c r="C181" s="328" t="s">
        <v>3626</v>
      </c>
      <c r="D181" s="263" t="s">
        <v>376</v>
      </c>
      <c r="E181" s="265" t="s">
        <v>377</v>
      </c>
      <c r="F181" s="262" t="s">
        <v>4316</v>
      </c>
      <c r="G181" s="247" t="s">
        <v>3700</v>
      </c>
      <c r="H181" s="316">
        <v>25066800</v>
      </c>
      <c r="I181" s="317">
        <v>4261356</v>
      </c>
      <c r="J181" s="527">
        <v>18743643</v>
      </c>
      <c r="K181" s="527">
        <v>2061800</v>
      </c>
      <c r="L181" s="336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3">
        <v>44992</v>
      </c>
      <c r="C182" s="328" t="s">
        <v>3627</v>
      </c>
      <c r="D182" s="263" t="s">
        <v>376</v>
      </c>
      <c r="E182" s="265" t="s">
        <v>377</v>
      </c>
      <c r="F182" s="262" t="s">
        <v>4316</v>
      </c>
      <c r="G182" s="247" t="s">
        <v>3701</v>
      </c>
      <c r="H182" s="316">
        <v>56040000</v>
      </c>
      <c r="I182" s="317">
        <v>9526800.0000000019</v>
      </c>
      <c r="J182" s="527">
        <v>41903783</v>
      </c>
      <c r="K182" s="527">
        <v>4609416</v>
      </c>
      <c r="L182" s="336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3">
        <v>44994</v>
      </c>
      <c r="C183" s="328" t="s">
        <v>3628</v>
      </c>
      <c r="D183" s="263" t="s">
        <v>376</v>
      </c>
      <c r="E183" s="265" t="s">
        <v>377</v>
      </c>
      <c r="F183" s="262" t="s">
        <v>4316</v>
      </c>
      <c r="G183" s="247" t="s">
        <v>3702</v>
      </c>
      <c r="H183" s="316">
        <v>51085600</v>
      </c>
      <c r="I183" s="317">
        <v>8684552</v>
      </c>
      <c r="J183" s="527">
        <v>38199142</v>
      </c>
      <c r="K183" s="527">
        <v>4201905</v>
      </c>
      <c r="L183" s="336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3">
        <v>44994</v>
      </c>
      <c r="C184" s="328" t="s">
        <v>3629</v>
      </c>
      <c r="D184" s="263" t="s">
        <v>376</v>
      </c>
      <c r="E184" s="265" t="s">
        <v>377</v>
      </c>
      <c r="F184" s="262" t="s">
        <v>4316</v>
      </c>
      <c r="G184" s="247" t="s">
        <v>3703</v>
      </c>
      <c r="H184" s="316">
        <v>88019200</v>
      </c>
      <c r="I184" s="317">
        <v>22134464</v>
      </c>
      <c r="J184" s="527">
        <v>59355618</v>
      </c>
      <c r="K184" s="527">
        <v>6529117</v>
      </c>
      <c r="L184" s="336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3">
        <v>44995</v>
      </c>
      <c r="C185" s="328" t="s">
        <v>3674</v>
      </c>
      <c r="D185" s="263" t="s">
        <v>376</v>
      </c>
      <c r="E185" s="265" t="s">
        <v>377</v>
      </c>
      <c r="F185" s="262" t="s">
        <v>4316</v>
      </c>
      <c r="G185" s="247" t="s">
        <v>3704</v>
      </c>
      <c r="H185" s="316">
        <v>30396000</v>
      </c>
      <c r="I185" s="317">
        <v>5167320</v>
      </c>
      <c r="J185" s="527">
        <v>22728540</v>
      </c>
      <c r="K185" s="527">
        <v>2500139</v>
      </c>
      <c r="L185" s="336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3">
        <v>44998</v>
      </c>
      <c r="C186" s="328" t="s">
        <v>3675</v>
      </c>
      <c r="D186" s="263" t="s">
        <v>376</v>
      </c>
      <c r="E186" s="265" t="s">
        <v>377</v>
      </c>
      <c r="F186" s="262" t="s">
        <v>4316</v>
      </c>
      <c r="G186" s="247" t="s">
        <v>3705</v>
      </c>
      <c r="H186" s="316">
        <v>24492000</v>
      </c>
      <c r="I186" s="317">
        <v>4163640</v>
      </c>
      <c r="J186" s="527">
        <v>18313837</v>
      </c>
      <c r="K186" s="527">
        <v>2014522</v>
      </c>
      <c r="L186" s="336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3">
        <v>44998</v>
      </c>
      <c r="C187" s="328" t="s">
        <v>3676</v>
      </c>
      <c r="D187" s="263" t="s">
        <v>376</v>
      </c>
      <c r="E187" s="265" t="s">
        <v>377</v>
      </c>
      <c r="F187" s="262" t="s">
        <v>4316</v>
      </c>
      <c r="G187" s="247" t="s">
        <v>3706</v>
      </c>
      <c r="H187" s="316">
        <v>24347400</v>
      </c>
      <c r="I187" s="317">
        <v>4139058</v>
      </c>
      <c r="J187" s="527">
        <v>18205713</v>
      </c>
      <c r="K187" s="527">
        <v>2002628</v>
      </c>
      <c r="L187" s="336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3">
        <v>14</v>
      </c>
      <c r="C188" s="328" t="s">
        <v>3677</v>
      </c>
      <c r="D188" s="263" t="s">
        <v>376</v>
      </c>
      <c r="E188" s="265" t="s">
        <v>377</v>
      </c>
      <c r="F188" s="262" t="s">
        <v>4316</v>
      </c>
      <c r="G188" s="247" t="s">
        <v>3707</v>
      </c>
      <c r="H188" s="316">
        <v>6636000</v>
      </c>
      <c r="I188" s="317">
        <v>1128120</v>
      </c>
      <c r="J188" s="527">
        <v>4962054</v>
      </c>
      <c r="K188" s="527">
        <v>545825</v>
      </c>
      <c r="L188" s="336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3">
        <v>45000</v>
      </c>
      <c r="C189" s="328" t="s">
        <v>3678</v>
      </c>
      <c r="D189" s="263" t="s">
        <v>376</v>
      </c>
      <c r="E189" s="265" t="s">
        <v>377</v>
      </c>
      <c r="F189" s="262" t="s">
        <v>4316</v>
      </c>
      <c r="G189" s="247" t="s">
        <v>3742</v>
      </c>
      <c r="H189" s="316">
        <v>5875200</v>
      </c>
      <c r="I189" s="317">
        <v>998784</v>
      </c>
      <c r="J189" s="527">
        <v>4393167</v>
      </c>
      <c r="K189" s="527">
        <v>483248</v>
      </c>
      <c r="L189" s="336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3">
        <v>45001</v>
      </c>
      <c r="C190" s="328" t="s">
        <v>3679</v>
      </c>
      <c r="D190" s="263" t="s">
        <v>376</v>
      </c>
      <c r="E190" s="265" t="s">
        <v>377</v>
      </c>
      <c r="F190" s="262" t="s">
        <v>4316</v>
      </c>
      <c r="G190" s="247" t="s">
        <v>3743</v>
      </c>
      <c r="H190" s="316">
        <v>36558000</v>
      </c>
      <c r="I190" s="317">
        <v>6214860</v>
      </c>
      <c r="J190" s="527">
        <v>27336162</v>
      </c>
      <c r="K190" s="527">
        <v>3006977</v>
      </c>
      <c r="L190" s="336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3">
        <v>45002</v>
      </c>
      <c r="C191" s="328" t="s">
        <v>3714</v>
      </c>
      <c r="D191" s="263" t="s">
        <v>376</v>
      </c>
      <c r="E191" s="265" t="s">
        <v>377</v>
      </c>
      <c r="F191" s="262" t="s">
        <v>4316</v>
      </c>
      <c r="G191" s="247" t="s">
        <v>3744</v>
      </c>
      <c r="H191" s="316">
        <v>32202000</v>
      </c>
      <c r="I191" s="317">
        <v>5474340</v>
      </c>
      <c r="J191" s="527">
        <v>24078972</v>
      </c>
      <c r="K191" s="527">
        <v>2648687</v>
      </c>
      <c r="L191" s="336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3">
        <v>45003</v>
      </c>
      <c r="C192" s="328" t="s">
        <v>3715</v>
      </c>
      <c r="D192" s="263" t="s">
        <v>376</v>
      </c>
      <c r="E192" s="265" t="s">
        <v>377</v>
      </c>
      <c r="F192" s="262" t="s">
        <v>4316</v>
      </c>
      <c r="G192" s="247" t="s">
        <v>3745</v>
      </c>
      <c r="H192" s="316">
        <v>24165600</v>
      </c>
      <c r="I192" s="317">
        <v>4108152</v>
      </c>
      <c r="J192" s="527">
        <v>18069772</v>
      </c>
      <c r="K192" s="527">
        <v>1987675</v>
      </c>
      <c r="L192" s="336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3">
        <v>45006</v>
      </c>
      <c r="C193" s="328" t="s">
        <v>3716</v>
      </c>
      <c r="D193" s="263" t="s">
        <v>376</v>
      </c>
      <c r="E193" s="265" t="s">
        <v>377</v>
      </c>
      <c r="F193" s="262" t="s">
        <v>4316</v>
      </c>
      <c r="G193" s="247" t="s">
        <v>3746</v>
      </c>
      <c r="H193" s="316">
        <v>14194000</v>
      </c>
      <c r="I193" s="317">
        <v>2412980</v>
      </c>
      <c r="J193" s="527">
        <v>10613531</v>
      </c>
      <c r="K193" s="527">
        <v>1167488</v>
      </c>
      <c r="L193" s="336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3">
        <v>45010</v>
      </c>
      <c r="C194" s="328" t="s">
        <v>3740</v>
      </c>
      <c r="D194" s="263" t="s">
        <v>376</v>
      </c>
      <c r="E194" s="265" t="s">
        <v>377</v>
      </c>
      <c r="F194" s="262" t="s">
        <v>4316</v>
      </c>
      <c r="G194" s="247" t="s">
        <v>3747</v>
      </c>
      <c r="H194" s="316">
        <v>20007600</v>
      </c>
      <c r="I194" s="317">
        <v>3401292</v>
      </c>
      <c r="J194" s="527">
        <v>14960637</v>
      </c>
      <c r="K194" s="527">
        <v>1645670</v>
      </c>
      <c r="L194" s="336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3">
        <v>45012</v>
      </c>
      <c r="C195" s="328" t="s">
        <v>3741</v>
      </c>
      <c r="D195" s="263" t="s">
        <v>376</v>
      </c>
      <c r="E195" s="265" t="s">
        <v>377</v>
      </c>
      <c r="F195" s="262" t="s">
        <v>4316</v>
      </c>
      <c r="G195" s="247" t="s">
        <v>3748</v>
      </c>
      <c r="H195" s="316">
        <v>25723200</v>
      </c>
      <c r="I195" s="317">
        <v>4372944</v>
      </c>
      <c r="J195" s="527">
        <v>19234464</v>
      </c>
      <c r="K195" s="527">
        <v>2115791</v>
      </c>
      <c r="L195" s="336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3">
        <v>45014</v>
      </c>
      <c r="C196" s="328" t="s">
        <v>3926</v>
      </c>
      <c r="D196" s="263" t="s">
        <v>376</v>
      </c>
      <c r="E196" s="265" t="s">
        <v>377</v>
      </c>
      <c r="F196" s="262" t="s">
        <v>4316</v>
      </c>
      <c r="G196" s="247" t="s">
        <v>3749</v>
      </c>
      <c r="H196" s="316">
        <v>11066400</v>
      </c>
      <c r="I196" s="317">
        <v>1881288</v>
      </c>
      <c r="J196" s="527">
        <v>8274875</v>
      </c>
      <c r="K196" s="527">
        <v>910236</v>
      </c>
      <c r="L196" s="336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3">
        <v>44989</v>
      </c>
      <c r="C197" s="328" t="s">
        <v>3736</v>
      </c>
      <c r="D197" s="263" t="s">
        <v>303</v>
      </c>
      <c r="E197" s="265" t="s">
        <v>373</v>
      </c>
      <c r="F197" s="262" t="s">
        <v>4317</v>
      </c>
      <c r="G197" s="247" t="s">
        <v>3725</v>
      </c>
      <c r="H197" s="316">
        <v>28000000</v>
      </c>
      <c r="I197" s="317">
        <v>2800000</v>
      </c>
      <c r="J197" s="527">
        <v>22702720</v>
      </c>
      <c r="K197" s="527">
        <v>2497299</v>
      </c>
      <c r="L197" s="336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3">
        <v>44987</v>
      </c>
      <c r="C198" s="328" t="s">
        <v>3938</v>
      </c>
      <c r="D198" s="263" t="s">
        <v>298</v>
      </c>
      <c r="E198" s="265" t="s">
        <v>374</v>
      </c>
      <c r="F198" s="262" t="s">
        <v>375</v>
      </c>
      <c r="G198" s="247" t="s">
        <v>3933</v>
      </c>
      <c r="H198" s="316">
        <v>9072000</v>
      </c>
      <c r="I198" s="317">
        <v>0</v>
      </c>
      <c r="J198" s="527">
        <v>8172864</v>
      </c>
      <c r="K198" s="527">
        <v>899015</v>
      </c>
      <c r="L198" s="336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3">
        <v>44992</v>
      </c>
      <c r="C199" s="328" t="s">
        <v>3685</v>
      </c>
      <c r="D199" s="263" t="s">
        <v>298</v>
      </c>
      <c r="E199" s="265" t="s">
        <v>374</v>
      </c>
      <c r="F199" s="262" t="s">
        <v>375</v>
      </c>
      <c r="G199" s="247" t="s">
        <v>3934</v>
      </c>
      <c r="H199" s="316">
        <v>22852800</v>
      </c>
      <c r="I199" s="317">
        <v>0</v>
      </c>
      <c r="J199" s="527">
        <v>20588288</v>
      </c>
      <c r="K199" s="527">
        <v>2264711</v>
      </c>
      <c r="L199" s="336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3">
        <v>44998</v>
      </c>
      <c r="C200" s="328" t="s">
        <v>3686</v>
      </c>
      <c r="D200" s="263" t="s">
        <v>298</v>
      </c>
      <c r="E200" s="265" t="s">
        <v>374</v>
      </c>
      <c r="F200" s="262" t="s">
        <v>375</v>
      </c>
      <c r="G200" s="247" t="s">
        <v>3935</v>
      </c>
      <c r="H200" s="316">
        <v>12096000</v>
      </c>
      <c r="I200" s="317">
        <v>0</v>
      </c>
      <c r="J200" s="527">
        <v>10897152</v>
      </c>
      <c r="K200" s="527">
        <v>1198686</v>
      </c>
      <c r="L200" s="336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3">
        <v>45000</v>
      </c>
      <c r="C201" s="328" t="s">
        <v>3687</v>
      </c>
      <c r="D201" s="263" t="s">
        <v>298</v>
      </c>
      <c r="E201" s="265" t="s">
        <v>374</v>
      </c>
      <c r="F201" s="262" t="s">
        <v>375</v>
      </c>
      <c r="G201" s="247" t="s">
        <v>3936</v>
      </c>
      <c r="H201" s="316">
        <v>19710000</v>
      </c>
      <c r="I201" s="317">
        <v>0</v>
      </c>
      <c r="J201" s="527">
        <v>17756280</v>
      </c>
      <c r="K201" s="527">
        <v>1953190</v>
      </c>
      <c r="L201" s="336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1">
        <v>45009</v>
      </c>
      <c r="B202" s="742">
        <v>45010</v>
      </c>
      <c r="C202" s="743" t="s">
        <v>3721</v>
      </c>
      <c r="D202" s="524" t="s">
        <v>298</v>
      </c>
      <c r="E202" s="523" t="s">
        <v>374</v>
      </c>
      <c r="F202" s="522" t="s">
        <v>375</v>
      </c>
      <c r="G202" s="744" t="s">
        <v>3937</v>
      </c>
      <c r="H202" s="745">
        <v>27375000</v>
      </c>
      <c r="I202" s="746">
        <v>0</v>
      </c>
      <c r="J202" s="747">
        <v>24661500</v>
      </c>
      <c r="K202" s="747">
        <v>2712765</v>
      </c>
      <c r="L202" s="748">
        <f t="shared" si="28"/>
        <v>27374265</v>
      </c>
      <c r="M202" s="745">
        <f t="shared" si="29"/>
        <v>27375000</v>
      </c>
    </row>
    <row r="203" spans="1:13" ht="18.75" thickBot="1" x14ac:dyDescent="0.3">
      <c r="A203" s="735" t="s">
        <v>38</v>
      </c>
      <c r="B203" s="736"/>
      <c r="C203" s="737"/>
      <c r="D203" s="738"/>
      <c r="E203" s="739"/>
      <c r="F203" s="739"/>
      <c r="G203" s="740"/>
      <c r="H203" s="734">
        <f>SUM(H140:H202)</f>
        <v>1252565470.1487</v>
      </c>
      <c r="I203" s="734"/>
      <c r="J203" s="734">
        <f>SUM(J140:J202)</f>
        <v>1015618672</v>
      </c>
      <c r="K203" s="734">
        <f>SUM(K140:K202)</f>
        <v>111718028</v>
      </c>
      <c r="L203" s="734">
        <f>SUM(L140:L202)</f>
        <v>1127336700</v>
      </c>
      <c r="M203" s="734">
        <f>SUM(M140:M202)</f>
        <v>1127338075.1487</v>
      </c>
    </row>
    <row r="204" spans="1:13" ht="18" x14ac:dyDescent="0.25">
      <c r="A204" s="700" t="s">
        <v>101</v>
      </c>
      <c r="B204" s="700"/>
      <c r="C204" s="701"/>
      <c r="D204" s="702"/>
      <c r="E204" s="703"/>
      <c r="F204" s="703"/>
      <c r="G204" s="702"/>
      <c r="H204" s="704"/>
      <c r="I204" s="704"/>
      <c r="J204" s="705"/>
      <c r="K204" s="705"/>
      <c r="L204" s="706"/>
      <c r="M204" s="707"/>
    </row>
    <row r="205" spans="1:13" s="248" customFormat="1" x14ac:dyDescent="0.25">
      <c r="A205" s="264">
        <v>45022</v>
      </c>
      <c r="B205" s="433">
        <v>45020</v>
      </c>
      <c r="C205" s="731" t="s">
        <v>4229</v>
      </c>
      <c r="D205" s="263" t="s">
        <v>397</v>
      </c>
      <c r="E205" s="265" t="s">
        <v>7135</v>
      </c>
      <c r="F205" s="262" t="s">
        <v>396</v>
      </c>
      <c r="G205" s="247" t="s">
        <v>4095</v>
      </c>
      <c r="H205" s="316">
        <v>5811405.0000000009</v>
      </c>
      <c r="I205" s="317">
        <v>0</v>
      </c>
      <c r="J205" s="527">
        <v>5235500</v>
      </c>
      <c r="K205" s="527">
        <v>575905</v>
      </c>
      <c r="L205" s="336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3">
        <v>45019</v>
      </c>
      <c r="C206" s="328" t="s">
        <v>4077</v>
      </c>
      <c r="D206" s="263" t="s">
        <v>297</v>
      </c>
      <c r="E206" s="265" t="s">
        <v>369</v>
      </c>
      <c r="F206" s="262" t="s">
        <v>395</v>
      </c>
      <c r="G206" s="247" t="s">
        <v>4250</v>
      </c>
      <c r="H206" s="316">
        <v>11795603.75</v>
      </c>
      <c r="I206" s="317">
        <v>0</v>
      </c>
      <c r="J206" s="527">
        <v>10626670</v>
      </c>
      <c r="K206" s="527">
        <v>1168933</v>
      </c>
      <c r="L206" s="336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3">
        <v>45019</v>
      </c>
      <c r="C207" s="328" t="s">
        <v>4078</v>
      </c>
      <c r="D207" s="263" t="s">
        <v>297</v>
      </c>
      <c r="E207" s="265" t="s">
        <v>369</v>
      </c>
      <c r="F207" s="262" t="s">
        <v>395</v>
      </c>
      <c r="G207" s="247" t="s">
        <v>4251</v>
      </c>
      <c r="H207" s="316">
        <v>10267404</v>
      </c>
      <c r="I207" s="317">
        <v>0</v>
      </c>
      <c r="J207" s="527">
        <v>9249913</v>
      </c>
      <c r="K207" s="527">
        <v>1017490</v>
      </c>
      <c r="L207" s="336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3">
        <v>45019</v>
      </c>
      <c r="C208" s="328" t="s">
        <v>4079</v>
      </c>
      <c r="D208" s="263" t="s">
        <v>297</v>
      </c>
      <c r="E208" s="265" t="s">
        <v>369</v>
      </c>
      <c r="F208" s="262" t="s">
        <v>395</v>
      </c>
      <c r="G208" s="247" t="s">
        <v>4252</v>
      </c>
      <c r="H208" s="316">
        <v>70460040</v>
      </c>
      <c r="I208" s="317">
        <v>0</v>
      </c>
      <c r="J208" s="527">
        <v>63477513</v>
      </c>
      <c r="K208" s="527">
        <v>6982526</v>
      </c>
      <c r="L208" s="336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3">
        <v>45019</v>
      </c>
      <c r="C209" s="328" t="s">
        <v>4080</v>
      </c>
      <c r="D209" s="263" t="s">
        <v>297</v>
      </c>
      <c r="E209" s="265" t="s">
        <v>369</v>
      </c>
      <c r="F209" s="262" t="s">
        <v>395</v>
      </c>
      <c r="G209" s="247" t="s">
        <v>4253</v>
      </c>
      <c r="H209" s="316">
        <v>37065420</v>
      </c>
      <c r="I209" s="317">
        <v>0</v>
      </c>
      <c r="J209" s="527">
        <v>33392270</v>
      </c>
      <c r="K209" s="527">
        <v>3673149</v>
      </c>
      <c r="L209" s="336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3">
        <v>45019</v>
      </c>
      <c r="C210" s="328" t="s">
        <v>4081</v>
      </c>
      <c r="D210" s="263" t="s">
        <v>297</v>
      </c>
      <c r="E210" s="265" t="s">
        <v>369</v>
      </c>
      <c r="F210" s="262" t="s">
        <v>395</v>
      </c>
      <c r="G210" s="247" t="s">
        <v>4254</v>
      </c>
      <c r="H210" s="316">
        <v>32010300</v>
      </c>
      <c r="I210" s="317">
        <v>1316700</v>
      </c>
      <c r="J210" s="527">
        <v>27651891</v>
      </c>
      <c r="K210" s="527">
        <v>3041708</v>
      </c>
      <c r="L210" s="336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3">
        <v>45020</v>
      </c>
      <c r="C211" s="328" t="s">
        <v>4082</v>
      </c>
      <c r="D211" s="263" t="s">
        <v>297</v>
      </c>
      <c r="E211" s="265" t="s">
        <v>369</v>
      </c>
      <c r="F211" s="262" t="s">
        <v>395</v>
      </c>
      <c r="G211" s="247" t="s">
        <v>4255</v>
      </c>
      <c r="H211" s="316">
        <v>18679185</v>
      </c>
      <c r="I211" s="317">
        <v>0</v>
      </c>
      <c r="J211" s="527">
        <v>16828094</v>
      </c>
      <c r="K211" s="527">
        <v>1851090</v>
      </c>
      <c r="L211" s="336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3">
        <v>45021</v>
      </c>
      <c r="C212" s="328" t="s">
        <v>4083</v>
      </c>
      <c r="D212" s="263" t="s">
        <v>297</v>
      </c>
      <c r="E212" s="265" t="s">
        <v>369</v>
      </c>
      <c r="F212" s="262" t="s">
        <v>395</v>
      </c>
      <c r="G212" s="247" t="s">
        <v>4256</v>
      </c>
      <c r="H212" s="316">
        <v>27458829</v>
      </c>
      <c r="I212" s="317">
        <v>270864</v>
      </c>
      <c r="J212" s="527">
        <v>24493662</v>
      </c>
      <c r="K212" s="527">
        <v>2694302</v>
      </c>
      <c r="L212" s="336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3">
        <v>45021</v>
      </c>
      <c r="C213" s="328" t="s">
        <v>4084</v>
      </c>
      <c r="D213" s="263" t="s">
        <v>297</v>
      </c>
      <c r="E213" s="265" t="s">
        <v>369</v>
      </c>
      <c r="F213" s="262" t="s">
        <v>395</v>
      </c>
      <c r="G213" s="247" t="s">
        <v>4257</v>
      </c>
      <c r="H213" s="316">
        <v>13794480</v>
      </c>
      <c r="I213" s="317">
        <v>0</v>
      </c>
      <c r="J213" s="527">
        <v>12427459</v>
      </c>
      <c r="K213" s="527">
        <v>1367020</v>
      </c>
      <c r="L213" s="336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3">
        <v>45022</v>
      </c>
      <c r="C214" s="328" t="s">
        <v>4259</v>
      </c>
      <c r="D214" s="263" t="s">
        <v>4228</v>
      </c>
      <c r="E214" s="265" t="s">
        <v>369</v>
      </c>
      <c r="F214" s="262" t="s">
        <v>395</v>
      </c>
      <c r="G214" s="247" t="s">
        <v>4258</v>
      </c>
      <c r="H214" s="316">
        <v>3016440</v>
      </c>
      <c r="I214" s="317">
        <v>0</v>
      </c>
      <c r="J214" s="527">
        <v>2717513</v>
      </c>
      <c r="K214" s="527">
        <v>298926</v>
      </c>
      <c r="L214" s="336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3">
        <v>45022</v>
      </c>
      <c r="C215" s="328" t="s">
        <v>4085</v>
      </c>
      <c r="D215" s="263" t="s">
        <v>297</v>
      </c>
      <c r="E215" s="265" t="s">
        <v>369</v>
      </c>
      <c r="F215" s="262" t="s">
        <v>395</v>
      </c>
      <c r="G215" s="247" t="s">
        <v>4260</v>
      </c>
      <c r="H215" s="316">
        <v>54306959</v>
      </c>
      <c r="I215" s="317">
        <v>0</v>
      </c>
      <c r="J215" s="527">
        <v>48925188</v>
      </c>
      <c r="K215" s="527">
        <v>5381770</v>
      </c>
      <c r="L215" s="336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3">
        <v>45022</v>
      </c>
      <c r="C216" s="328" t="s">
        <v>4086</v>
      </c>
      <c r="D216" s="263" t="s">
        <v>297</v>
      </c>
      <c r="E216" s="265" t="s">
        <v>369</v>
      </c>
      <c r="F216" s="262" t="s">
        <v>395</v>
      </c>
      <c r="G216" s="247" t="s">
        <v>4261</v>
      </c>
      <c r="H216" s="316">
        <v>27554773.75</v>
      </c>
      <c r="I216" s="317">
        <v>0</v>
      </c>
      <c r="J216" s="527">
        <v>24824120</v>
      </c>
      <c r="K216" s="527">
        <v>2730653</v>
      </c>
      <c r="L216" s="336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3">
        <v>45022</v>
      </c>
      <c r="C217" s="328" t="s">
        <v>4087</v>
      </c>
      <c r="D217" s="263" t="s">
        <v>297</v>
      </c>
      <c r="E217" s="265" t="s">
        <v>369</v>
      </c>
      <c r="F217" s="262" t="s">
        <v>395</v>
      </c>
      <c r="G217" s="247" t="s">
        <v>4262</v>
      </c>
      <c r="H217" s="316">
        <v>66785775</v>
      </c>
      <c r="I217" s="317">
        <v>0</v>
      </c>
      <c r="J217" s="527">
        <v>60167364</v>
      </c>
      <c r="K217" s="527">
        <v>6618410</v>
      </c>
      <c r="L217" s="336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3">
        <v>45022</v>
      </c>
      <c r="C218" s="328" t="s">
        <v>4088</v>
      </c>
      <c r="D218" s="263" t="s">
        <v>297</v>
      </c>
      <c r="E218" s="265" t="s">
        <v>369</v>
      </c>
      <c r="F218" s="262" t="s">
        <v>395</v>
      </c>
      <c r="G218" s="247" t="s">
        <v>4263</v>
      </c>
      <c r="H218" s="316">
        <v>19814838.75</v>
      </c>
      <c r="I218" s="317">
        <v>790020</v>
      </c>
      <c r="J218" s="527">
        <v>17139476</v>
      </c>
      <c r="K218" s="527">
        <v>1885342</v>
      </c>
      <c r="L218" s="336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3">
        <v>410266</v>
      </c>
      <c r="C219" s="328" t="s">
        <v>4089</v>
      </c>
      <c r="D219" s="263" t="s">
        <v>297</v>
      </c>
      <c r="E219" s="265" t="s">
        <v>369</v>
      </c>
      <c r="F219" s="262" t="s">
        <v>395</v>
      </c>
      <c r="G219" s="247" t="s">
        <v>4264</v>
      </c>
      <c r="H219" s="316">
        <v>22521056.25</v>
      </c>
      <c r="I219" s="317">
        <v>0</v>
      </c>
      <c r="J219" s="527">
        <v>20289239</v>
      </c>
      <c r="K219" s="527">
        <v>2231816</v>
      </c>
      <c r="L219" s="336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3">
        <v>45024</v>
      </c>
      <c r="C220" s="328" t="s">
        <v>4090</v>
      </c>
      <c r="D220" s="263" t="s">
        <v>297</v>
      </c>
      <c r="E220" s="265" t="s">
        <v>369</v>
      </c>
      <c r="F220" s="262" t="s">
        <v>395</v>
      </c>
      <c r="G220" s="247" t="s">
        <v>4265</v>
      </c>
      <c r="H220" s="316">
        <v>4444632</v>
      </c>
      <c r="I220" s="317">
        <v>135432</v>
      </c>
      <c r="J220" s="527">
        <v>3882162</v>
      </c>
      <c r="K220" s="527">
        <v>427037</v>
      </c>
      <c r="L220" s="336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3">
        <v>45024</v>
      </c>
      <c r="C221" s="328" t="s">
        <v>4091</v>
      </c>
      <c r="D221" s="263" t="s">
        <v>297</v>
      </c>
      <c r="E221" s="265" t="s">
        <v>369</v>
      </c>
      <c r="F221" s="262" t="s">
        <v>395</v>
      </c>
      <c r="G221" s="247" t="s">
        <v>4266</v>
      </c>
      <c r="H221" s="316">
        <v>79946160</v>
      </c>
      <c r="I221" s="317">
        <v>0</v>
      </c>
      <c r="J221" s="527">
        <v>72023567</v>
      </c>
      <c r="K221" s="527">
        <v>7922592</v>
      </c>
      <c r="L221" s="336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3">
        <v>45024</v>
      </c>
      <c r="C222" s="328" t="s">
        <v>4092</v>
      </c>
      <c r="D222" s="263" t="s">
        <v>297</v>
      </c>
      <c r="E222" s="265" t="s">
        <v>369</v>
      </c>
      <c r="F222" s="262" t="s">
        <v>395</v>
      </c>
      <c r="G222" s="247" t="s">
        <v>4267</v>
      </c>
      <c r="H222" s="316">
        <v>27154836</v>
      </c>
      <c r="I222" s="317">
        <v>406296</v>
      </c>
      <c r="J222" s="527">
        <v>24097783</v>
      </c>
      <c r="K222" s="527">
        <v>2650756</v>
      </c>
      <c r="L222" s="336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3">
        <v>45026</v>
      </c>
      <c r="C223" s="328" t="s">
        <v>4093</v>
      </c>
      <c r="D223" s="263" t="s">
        <v>297</v>
      </c>
      <c r="E223" s="265" t="s">
        <v>369</v>
      </c>
      <c r="F223" s="262" t="s">
        <v>395</v>
      </c>
      <c r="G223" s="247" t="s">
        <v>4268</v>
      </c>
      <c r="H223" s="316">
        <v>41528585</v>
      </c>
      <c r="I223" s="317">
        <v>0</v>
      </c>
      <c r="J223" s="527">
        <v>37413139</v>
      </c>
      <c r="K223" s="527">
        <v>4115445</v>
      </c>
      <c r="L223" s="336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3">
        <v>45026</v>
      </c>
      <c r="C224" s="328" t="s">
        <v>4094</v>
      </c>
      <c r="D224" s="263" t="s">
        <v>297</v>
      </c>
      <c r="E224" s="265" t="s">
        <v>369</v>
      </c>
      <c r="F224" s="262" t="s">
        <v>395</v>
      </c>
      <c r="G224" s="247" t="s">
        <v>4269</v>
      </c>
      <c r="H224" s="316">
        <v>28692422.5</v>
      </c>
      <c r="I224" s="317">
        <v>0</v>
      </c>
      <c r="J224" s="527">
        <v>25849029</v>
      </c>
      <c r="K224" s="527">
        <v>2843393</v>
      </c>
      <c r="L224" s="336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3">
        <v>45027</v>
      </c>
      <c r="C225" s="328" t="s">
        <v>4153</v>
      </c>
      <c r="D225" s="263" t="s">
        <v>4155</v>
      </c>
      <c r="E225" s="265" t="s">
        <v>369</v>
      </c>
      <c r="F225" s="262" t="s">
        <v>395</v>
      </c>
      <c r="G225" s="247" t="s">
        <v>4270</v>
      </c>
      <c r="H225" s="316">
        <v>8667111.25</v>
      </c>
      <c r="I225" s="317">
        <v>0</v>
      </c>
      <c r="J225" s="527">
        <v>7808208</v>
      </c>
      <c r="K225" s="527">
        <v>858902</v>
      </c>
      <c r="L225" s="336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3">
        <v>45028</v>
      </c>
      <c r="C226" s="328" t="s">
        <v>4154</v>
      </c>
      <c r="D226" s="263" t="s">
        <v>4156</v>
      </c>
      <c r="E226" s="265" t="s">
        <v>369</v>
      </c>
      <c r="F226" s="262" t="s">
        <v>395</v>
      </c>
      <c r="G226" s="247" t="s">
        <v>4271</v>
      </c>
      <c r="H226" s="316">
        <v>52395682.5</v>
      </c>
      <c r="I226" s="317">
        <v>3028410</v>
      </c>
      <c r="J226" s="527">
        <v>44475020</v>
      </c>
      <c r="K226" s="527">
        <v>4892252</v>
      </c>
      <c r="L226" s="336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3">
        <v>45029</v>
      </c>
      <c r="C227" s="328" t="s">
        <v>4273</v>
      </c>
      <c r="D227" s="263" t="s">
        <v>4156</v>
      </c>
      <c r="E227" s="265" t="s">
        <v>369</v>
      </c>
      <c r="F227" s="262" t="s">
        <v>395</v>
      </c>
      <c r="G227" s="247" t="s">
        <v>4272</v>
      </c>
      <c r="H227" s="316">
        <v>30509867.5</v>
      </c>
      <c r="I227" s="317">
        <v>0</v>
      </c>
      <c r="J227" s="527">
        <v>27486367</v>
      </c>
      <c r="K227" s="527">
        <v>3023500</v>
      </c>
      <c r="L227" s="336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3">
        <v>45029</v>
      </c>
      <c r="C228" s="328" t="s">
        <v>4275</v>
      </c>
      <c r="D228" s="263" t="s">
        <v>4156</v>
      </c>
      <c r="E228" s="265" t="s">
        <v>369</v>
      </c>
      <c r="F228" s="262" t="s">
        <v>395</v>
      </c>
      <c r="G228" s="247" t="s">
        <v>4274</v>
      </c>
      <c r="H228" s="316">
        <v>1175055</v>
      </c>
      <c r="I228" s="317">
        <v>0</v>
      </c>
      <c r="J228" s="527">
        <v>1058608</v>
      </c>
      <c r="K228" s="527">
        <v>116446</v>
      </c>
      <c r="L228" s="336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3">
        <v>45030</v>
      </c>
      <c r="C229" s="328" t="s">
        <v>4227</v>
      </c>
      <c r="D229" s="263" t="s">
        <v>4228</v>
      </c>
      <c r="E229" s="265" t="s">
        <v>369</v>
      </c>
      <c r="F229" s="262" t="s">
        <v>395</v>
      </c>
      <c r="G229" s="247" t="s">
        <v>4276</v>
      </c>
      <c r="H229" s="316">
        <v>11762520</v>
      </c>
      <c r="I229" s="317">
        <v>0</v>
      </c>
      <c r="J229" s="527">
        <v>10596864</v>
      </c>
      <c r="K229" s="527">
        <v>1165655</v>
      </c>
      <c r="L229" s="336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3">
        <v>45017</v>
      </c>
      <c r="C230" s="328" t="s">
        <v>4063</v>
      </c>
      <c r="D230" s="263" t="s">
        <v>376</v>
      </c>
      <c r="E230" s="265" t="s">
        <v>377</v>
      </c>
      <c r="F230" s="262" t="s">
        <v>4316</v>
      </c>
      <c r="G230" s="247" t="s">
        <v>4230</v>
      </c>
      <c r="H230" s="316">
        <v>59916000</v>
      </c>
      <c r="I230" s="317">
        <v>10185720</v>
      </c>
      <c r="J230" s="527">
        <v>44802054</v>
      </c>
      <c r="K230" s="527">
        <v>4928225</v>
      </c>
      <c r="L230" s="336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3">
        <v>45017</v>
      </c>
      <c r="C231" s="328" t="s">
        <v>4064</v>
      </c>
      <c r="D231" s="263" t="s">
        <v>376</v>
      </c>
      <c r="E231" s="265" t="s">
        <v>377</v>
      </c>
      <c r="F231" s="262" t="s">
        <v>4316</v>
      </c>
      <c r="G231" s="247" t="s">
        <v>4231</v>
      </c>
      <c r="H231" s="316">
        <v>59098400</v>
      </c>
      <c r="I231" s="317">
        <v>10046728</v>
      </c>
      <c r="J231" s="527">
        <v>44190695</v>
      </c>
      <c r="K231" s="527">
        <v>4860976</v>
      </c>
      <c r="L231" s="336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3">
        <v>45019</v>
      </c>
      <c r="C232" s="328" t="s">
        <v>4277</v>
      </c>
      <c r="D232" s="263" t="s">
        <v>376</v>
      </c>
      <c r="E232" s="265" t="s">
        <v>377</v>
      </c>
      <c r="F232" s="262" t="s">
        <v>4316</v>
      </c>
      <c r="G232" s="247" t="s">
        <v>4232</v>
      </c>
      <c r="H232" s="316">
        <v>19440000</v>
      </c>
      <c r="I232" s="317">
        <v>3304800.0000000005</v>
      </c>
      <c r="J232" s="527">
        <v>14536216</v>
      </c>
      <c r="K232" s="527">
        <v>1598983</v>
      </c>
      <c r="L232" s="336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3">
        <v>45019</v>
      </c>
      <c r="C233" s="328" t="s">
        <v>4065</v>
      </c>
      <c r="D233" s="263" t="s">
        <v>376</v>
      </c>
      <c r="E233" s="265" t="s">
        <v>377</v>
      </c>
      <c r="F233" s="262" t="s">
        <v>4316</v>
      </c>
      <c r="G233" s="247" t="s">
        <v>4233</v>
      </c>
      <c r="H233" s="316">
        <v>31602400</v>
      </c>
      <c r="I233" s="317">
        <v>5372408</v>
      </c>
      <c r="J233" s="527">
        <v>23630623</v>
      </c>
      <c r="K233" s="527">
        <v>2599368</v>
      </c>
      <c r="L233" s="336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3">
        <v>45019</v>
      </c>
      <c r="C234" s="328" t="s">
        <v>4066</v>
      </c>
      <c r="D234" s="263" t="s">
        <v>376</v>
      </c>
      <c r="E234" s="265" t="s">
        <v>377</v>
      </c>
      <c r="F234" s="262" t="s">
        <v>4316</v>
      </c>
      <c r="G234" s="247" t="s">
        <v>4234</v>
      </c>
      <c r="H234" s="316">
        <v>14166000</v>
      </c>
      <c r="I234" s="317">
        <v>2408220</v>
      </c>
      <c r="J234" s="527">
        <v>10592594</v>
      </c>
      <c r="K234" s="527">
        <v>1165185</v>
      </c>
      <c r="L234" s="336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3">
        <v>45020</v>
      </c>
      <c r="C235" s="328" t="s">
        <v>4067</v>
      </c>
      <c r="D235" s="263" t="s">
        <v>376</v>
      </c>
      <c r="E235" s="265" t="s">
        <v>377</v>
      </c>
      <c r="F235" s="262" t="s">
        <v>4316</v>
      </c>
      <c r="G235" s="247" t="s">
        <v>4235</v>
      </c>
      <c r="H235" s="316">
        <v>7140000</v>
      </c>
      <c r="I235" s="317">
        <v>1213800</v>
      </c>
      <c r="J235" s="527">
        <v>5338918</v>
      </c>
      <c r="K235" s="527">
        <v>587281</v>
      </c>
      <c r="L235" s="336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3">
        <v>45020</v>
      </c>
      <c r="C236" s="328" t="s">
        <v>4068</v>
      </c>
      <c r="D236" s="263" t="s">
        <v>376</v>
      </c>
      <c r="E236" s="265" t="s">
        <v>377</v>
      </c>
      <c r="F236" s="262" t="s">
        <v>4316</v>
      </c>
      <c r="G236" s="247" t="s">
        <v>4236</v>
      </c>
      <c r="H236" s="316">
        <v>39745200</v>
      </c>
      <c r="I236" s="317">
        <v>6756684</v>
      </c>
      <c r="J236" s="527">
        <v>29719383</v>
      </c>
      <c r="K236" s="527">
        <v>3269132</v>
      </c>
      <c r="L236" s="336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3">
        <v>45021</v>
      </c>
      <c r="C237" s="328" t="s">
        <v>4069</v>
      </c>
      <c r="D237" s="263" t="s">
        <v>376</v>
      </c>
      <c r="E237" s="265" t="s">
        <v>377</v>
      </c>
      <c r="F237" s="262" t="s">
        <v>4316</v>
      </c>
      <c r="G237" s="247" t="s">
        <v>4237</v>
      </c>
      <c r="H237" s="316">
        <v>14942400</v>
      </c>
      <c r="I237" s="317">
        <v>2540208</v>
      </c>
      <c r="J237" s="527">
        <v>11173145</v>
      </c>
      <c r="K237" s="527">
        <v>1229046</v>
      </c>
      <c r="L237" s="336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3">
        <v>45021</v>
      </c>
      <c r="C238" s="328" t="s">
        <v>4070</v>
      </c>
      <c r="D238" s="263" t="s">
        <v>376</v>
      </c>
      <c r="E238" s="265" t="s">
        <v>377</v>
      </c>
      <c r="F238" s="262" t="s">
        <v>4316</v>
      </c>
      <c r="G238" s="247" t="s">
        <v>4238</v>
      </c>
      <c r="H238" s="316">
        <v>7374000</v>
      </c>
      <c r="I238" s="317">
        <v>1253580</v>
      </c>
      <c r="J238" s="527">
        <v>5513891</v>
      </c>
      <c r="K238" s="527">
        <v>606528</v>
      </c>
      <c r="L238" s="336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3">
        <v>45022</v>
      </c>
      <c r="C239" s="328" t="s">
        <v>4071</v>
      </c>
      <c r="D239" s="263" t="s">
        <v>376</v>
      </c>
      <c r="E239" s="265" t="s">
        <v>377</v>
      </c>
      <c r="F239" s="262" t="s">
        <v>4316</v>
      </c>
      <c r="G239" s="247" t="s">
        <v>4239</v>
      </c>
      <c r="H239" s="316">
        <v>3600000</v>
      </c>
      <c r="I239" s="317">
        <v>612000</v>
      </c>
      <c r="J239" s="527">
        <v>2691891</v>
      </c>
      <c r="K239" s="527">
        <v>296108</v>
      </c>
      <c r="L239" s="336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3">
        <v>45024</v>
      </c>
      <c r="C240" s="328" t="s">
        <v>4072</v>
      </c>
      <c r="D240" s="263" t="s">
        <v>376</v>
      </c>
      <c r="E240" s="265" t="s">
        <v>377</v>
      </c>
      <c r="F240" s="262" t="s">
        <v>4316</v>
      </c>
      <c r="G240" s="247" t="s">
        <v>4240</v>
      </c>
      <c r="H240" s="316">
        <v>43610400</v>
      </c>
      <c r="I240" s="317">
        <v>7413768</v>
      </c>
      <c r="J240" s="527">
        <v>32609578</v>
      </c>
      <c r="K240" s="527">
        <v>3587053</v>
      </c>
      <c r="L240" s="336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3">
        <v>45024</v>
      </c>
      <c r="C241" s="328" t="s">
        <v>4073</v>
      </c>
      <c r="D241" s="263" t="s">
        <v>376</v>
      </c>
      <c r="E241" s="265" t="s">
        <v>377</v>
      </c>
      <c r="F241" s="262" t="s">
        <v>4316</v>
      </c>
      <c r="G241" s="247" t="s">
        <v>4241</v>
      </c>
      <c r="H241" s="316">
        <v>12777200</v>
      </c>
      <c r="I241" s="317">
        <v>2172124</v>
      </c>
      <c r="J241" s="527">
        <v>9554122</v>
      </c>
      <c r="K241" s="527">
        <v>1050953</v>
      </c>
      <c r="L241" s="336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3">
        <v>45026</v>
      </c>
      <c r="C242" s="328" t="s">
        <v>4074</v>
      </c>
      <c r="D242" s="263" t="s">
        <v>376</v>
      </c>
      <c r="E242" s="265" t="s">
        <v>377</v>
      </c>
      <c r="F242" s="262" t="s">
        <v>4316</v>
      </c>
      <c r="G242" s="247" t="s">
        <v>4242</v>
      </c>
      <c r="H242" s="316">
        <v>12588000</v>
      </c>
      <c r="I242" s="317">
        <v>2139960</v>
      </c>
      <c r="J242" s="527">
        <v>9412648</v>
      </c>
      <c r="K242" s="527">
        <v>1035391</v>
      </c>
      <c r="L242" s="336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3">
        <v>45027</v>
      </c>
      <c r="C243" s="328" t="s">
        <v>4075</v>
      </c>
      <c r="D243" s="263" t="s">
        <v>376</v>
      </c>
      <c r="E243" s="265" t="s">
        <v>377</v>
      </c>
      <c r="F243" s="262" t="s">
        <v>4316</v>
      </c>
      <c r="G243" s="247" t="s">
        <v>4243</v>
      </c>
      <c r="H243" s="316">
        <v>26287200</v>
      </c>
      <c r="I243" s="317">
        <v>4468824</v>
      </c>
      <c r="J243" s="527">
        <v>19656194</v>
      </c>
      <c r="K243" s="527">
        <v>2162181</v>
      </c>
      <c r="L243" s="336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3">
        <v>45027</v>
      </c>
      <c r="C244" s="328" t="s">
        <v>4076</v>
      </c>
      <c r="D244" s="263" t="s">
        <v>376</v>
      </c>
      <c r="E244" s="265" t="s">
        <v>377</v>
      </c>
      <c r="F244" s="262" t="s">
        <v>4316</v>
      </c>
      <c r="G244" s="247" t="s">
        <v>4244</v>
      </c>
      <c r="H244" s="316">
        <v>5566000</v>
      </c>
      <c r="I244" s="317">
        <v>946220</v>
      </c>
      <c r="J244" s="527">
        <v>4161963</v>
      </c>
      <c r="K244" s="527">
        <v>457816</v>
      </c>
      <c r="L244" s="336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3">
        <v>45028</v>
      </c>
      <c r="C245" s="328" t="s">
        <v>4151</v>
      </c>
      <c r="D245" s="263" t="s">
        <v>376</v>
      </c>
      <c r="E245" s="265" t="s">
        <v>377</v>
      </c>
      <c r="F245" s="262" t="s">
        <v>4316</v>
      </c>
      <c r="G245" s="247" t="s">
        <v>4245</v>
      </c>
      <c r="H245" s="316">
        <v>14106000</v>
      </c>
      <c r="I245" s="317">
        <v>2398020</v>
      </c>
      <c r="J245" s="527">
        <v>10547729</v>
      </c>
      <c r="K245" s="527">
        <v>1160250</v>
      </c>
      <c r="L245" s="336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3">
        <v>45029</v>
      </c>
      <c r="C246" s="328" t="s">
        <v>4152</v>
      </c>
      <c r="D246" s="263" t="s">
        <v>376</v>
      </c>
      <c r="E246" s="265" t="s">
        <v>377</v>
      </c>
      <c r="F246" s="262" t="s">
        <v>4316</v>
      </c>
      <c r="G246" s="247" t="s">
        <v>4246</v>
      </c>
      <c r="H246" s="316">
        <v>10224000</v>
      </c>
      <c r="I246" s="317">
        <v>1738080</v>
      </c>
      <c r="J246" s="527">
        <v>7644972</v>
      </c>
      <c r="K246" s="527">
        <v>840947</v>
      </c>
      <c r="L246" s="336">
        <f t="shared" si="42"/>
        <v>8485919</v>
      </c>
      <c r="M246" s="316">
        <f t="shared" si="43"/>
        <v>8485920</v>
      </c>
    </row>
    <row r="247" spans="1:13" s="248" customFormat="1" x14ac:dyDescent="0.25">
      <c r="A247" s="751"/>
      <c r="B247" s="433">
        <v>45030</v>
      </c>
      <c r="C247" s="328" t="s">
        <v>4224</v>
      </c>
      <c r="D247" s="263" t="s">
        <v>376</v>
      </c>
      <c r="E247" s="265" t="s">
        <v>377</v>
      </c>
      <c r="F247" s="262" t="s">
        <v>4316</v>
      </c>
      <c r="G247" s="247" t="s">
        <v>4247</v>
      </c>
      <c r="H247" s="316">
        <v>119620800</v>
      </c>
      <c r="I247" s="317">
        <v>20335536</v>
      </c>
      <c r="J247" s="527">
        <v>89446183</v>
      </c>
      <c r="K247" s="527">
        <v>9839080</v>
      </c>
      <c r="L247" s="336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1"/>
      <c r="B248" s="433">
        <v>45030</v>
      </c>
      <c r="C248" s="328" t="s">
        <v>4225</v>
      </c>
      <c r="D248" s="263" t="s">
        <v>376</v>
      </c>
      <c r="E248" s="265" t="s">
        <v>377</v>
      </c>
      <c r="F248" s="262" t="s">
        <v>4316</v>
      </c>
      <c r="G248" s="247" t="s">
        <v>4248</v>
      </c>
      <c r="H248" s="316">
        <v>40503200</v>
      </c>
      <c r="I248" s="317">
        <v>6885544</v>
      </c>
      <c r="J248" s="527">
        <v>30286176</v>
      </c>
      <c r="K248" s="527">
        <v>3331479</v>
      </c>
      <c r="L248" s="336">
        <f t="shared" si="44"/>
        <v>33617655</v>
      </c>
      <c r="M248" s="316">
        <f t="shared" si="45"/>
        <v>33617656</v>
      </c>
    </row>
    <row r="249" spans="1:13" s="248" customFormat="1" x14ac:dyDescent="0.25">
      <c r="A249" s="751"/>
      <c r="B249" s="433">
        <v>45031</v>
      </c>
      <c r="C249" s="328" t="s">
        <v>4226</v>
      </c>
      <c r="D249" s="263" t="s">
        <v>376</v>
      </c>
      <c r="E249" s="265" t="s">
        <v>377</v>
      </c>
      <c r="F249" s="262" t="s">
        <v>4316</v>
      </c>
      <c r="G249" s="247" t="s">
        <v>4249</v>
      </c>
      <c r="H249" s="316">
        <v>66524400</v>
      </c>
      <c r="I249" s="317">
        <v>11309148.000000002</v>
      </c>
      <c r="J249" s="527">
        <v>49743470</v>
      </c>
      <c r="K249" s="527">
        <v>5471781</v>
      </c>
      <c r="L249" s="336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3">
        <v>45019</v>
      </c>
      <c r="C250" s="328" t="s">
        <v>4336</v>
      </c>
      <c r="D250" s="263" t="s">
        <v>303</v>
      </c>
      <c r="E250" s="265" t="s">
        <v>373</v>
      </c>
      <c r="F250" s="262" t="s">
        <v>4317</v>
      </c>
      <c r="G250" s="247" t="s">
        <v>4301</v>
      </c>
      <c r="H250" s="316">
        <v>6000000</v>
      </c>
      <c r="I250" s="317">
        <v>0</v>
      </c>
      <c r="J250" s="527">
        <v>5405407</v>
      </c>
      <c r="K250" s="527">
        <v>594594</v>
      </c>
      <c r="L250" s="336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3">
        <v>45019</v>
      </c>
      <c r="C251" s="328" t="s">
        <v>4096</v>
      </c>
      <c r="D251" s="263" t="s">
        <v>303</v>
      </c>
      <c r="E251" s="265" t="s">
        <v>373</v>
      </c>
      <c r="F251" s="262" t="s">
        <v>4317</v>
      </c>
      <c r="G251" s="247" t="s">
        <v>4300</v>
      </c>
      <c r="H251" s="316">
        <v>28000000</v>
      </c>
      <c r="I251" s="317">
        <v>2800000</v>
      </c>
      <c r="J251" s="527">
        <v>22702720</v>
      </c>
      <c r="K251" s="527">
        <v>2497299</v>
      </c>
      <c r="L251" s="336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5" t="s">
        <v>38</v>
      </c>
      <c r="B252" s="434"/>
      <c r="C252" s="437"/>
      <c r="D252" s="436"/>
      <c r="E252" s="441"/>
      <c r="F252" s="441"/>
      <c r="G252" s="438"/>
      <c r="H252" s="336">
        <f>SUM(H205:H251)</f>
        <v>1350450981.25</v>
      </c>
      <c r="I252" s="335"/>
      <c r="J252" s="528">
        <f>SUM(J205:J251)</f>
        <v>1115497191</v>
      </c>
      <c r="K252" s="528">
        <f>SUM(K205:K251)</f>
        <v>122704674</v>
      </c>
      <c r="L252" s="337">
        <f>SUM(L205:L251)</f>
        <v>1238201865</v>
      </c>
      <c r="M252" s="337">
        <f>SUM(M205:M251)</f>
        <v>1238201887.25</v>
      </c>
    </row>
    <row r="253" spans="1:13" ht="18.75" customHeight="1" x14ac:dyDescent="0.25">
      <c r="A253" s="432" t="s">
        <v>102</v>
      </c>
      <c r="B253" s="432"/>
      <c r="C253" s="344"/>
      <c r="D253" s="343"/>
      <c r="E253" s="440"/>
      <c r="F253" s="440"/>
      <c r="G253" s="343"/>
      <c r="H253" s="345"/>
      <c r="I253" s="345"/>
      <c r="J253" s="526"/>
      <c r="K253" s="526"/>
      <c r="L253" s="612"/>
      <c r="M253" s="346"/>
    </row>
    <row r="254" spans="1:13" s="248" customFormat="1" x14ac:dyDescent="0.25">
      <c r="A254" s="264">
        <v>45080</v>
      </c>
      <c r="B254" s="433">
        <v>45072</v>
      </c>
      <c r="C254" s="328" t="s">
        <v>4535</v>
      </c>
      <c r="D254" s="263" t="s">
        <v>378</v>
      </c>
      <c r="E254" s="265" t="s">
        <v>379</v>
      </c>
      <c r="F254" s="262" t="s">
        <v>380</v>
      </c>
      <c r="G254" s="247" t="s">
        <v>4817</v>
      </c>
      <c r="H254" s="316">
        <v>17856000</v>
      </c>
      <c r="I254" s="317">
        <v>892800</v>
      </c>
      <c r="J254" s="527">
        <v>15265045</v>
      </c>
      <c r="K254" s="527">
        <v>1679155</v>
      </c>
      <c r="L254" s="336">
        <f t="shared" ref="L254" si="50">SUM(J254:K254)</f>
        <v>16944200</v>
      </c>
      <c r="M254" s="316">
        <f t="shared" ref="M254" si="51">H254-I254</f>
        <v>16963200</v>
      </c>
    </row>
    <row r="255" spans="1:13" s="248" customFormat="1" x14ac:dyDescent="0.25">
      <c r="A255" s="264">
        <v>45055</v>
      </c>
      <c r="B255" s="433">
        <v>45050</v>
      </c>
      <c r="C255" s="328" t="s">
        <v>4416</v>
      </c>
      <c r="D255" s="263" t="s">
        <v>297</v>
      </c>
      <c r="E255" s="265" t="s">
        <v>369</v>
      </c>
      <c r="F255" s="262" t="s">
        <v>395</v>
      </c>
      <c r="G255" s="247" t="s">
        <v>4545</v>
      </c>
      <c r="H255" s="316">
        <v>29991674.5</v>
      </c>
      <c r="I255" s="317">
        <v>695432</v>
      </c>
      <c r="J255" s="527">
        <v>26393011</v>
      </c>
      <c r="K255" s="527">
        <v>2903231</v>
      </c>
      <c r="L255" s="336">
        <f t="shared" ref="L255:L259" si="52">SUM(J255:K255)</f>
        <v>29296242</v>
      </c>
      <c r="M255" s="316">
        <f t="shared" ref="M255:M259" si="53">H255-I255</f>
        <v>29296242.5</v>
      </c>
    </row>
    <row r="256" spans="1:13" s="248" customFormat="1" x14ac:dyDescent="0.25">
      <c r="A256" s="264">
        <v>45055</v>
      </c>
      <c r="B256" s="433">
        <v>45050</v>
      </c>
      <c r="C256" s="328" t="s">
        <v>4417</v>
      </c>
      <c r="D256" s="263" t="s">
        <v>297</v>
      </c>
      <c r="E256" s="265" t="s">
        <v>369</v>
      </c>
      <c r="F256" s="262" t="s">
        <v>395</v>
      </c>
      <c r="G256" s="247" t="s">
        <v>4546</v>
      </c>
      <c r="H256" s="316">
        <v>68319718.75</v>
      </c>
      <c r="I256" s="317">
        <v>2040000</v>
      </c>
      <c r="J256" s="527">
        <v>59711458</v>
      </c>
      <c r="K256" s="527">
        <v>6568260</v>
      </c>
      <c r="L256" s="336">
        <f t="shared" si="52"/>
        <v>66279718</v>
      </c>
      <c r="M256" s="316">
        <f t="shared" si="53"/>
        <v>66279718.75</v>
      </c>
    </row>
    <row r="257" spans="1:13" s="248" customFormat="1" x14ac:dyDescent="0.25">
      <c r="A257" s="264">
        <v>45055</v>
      </c>
      <c r="B257" s="433">
        <v>45050</v>
      </c>
      <c r="C257" s="328" t="s">
        <v>4418</v>
      </c>
      <c r="D257" s="263" t="s">
        <v>297</v>
      </c>
      <c r="E257" s="265" t="s">
        <v>369</v>
      </c>
      <c r="F257" s="262" t="s">
        <v>395</v>
      </c>
      <c r="G257" s="247" t="s">
        <v>4547</v>
      </c>
      <c r="H257" s="316">
        <v>36753390</v>
      </c>
      <c r="I257" s="317">
        <v>600000</v>
      </c>
      <c r="J257" s="527">
        <v>32570621</v>
      </c>
      <c r="K257" s="527">
        <v>3582768</v>
      </c>
      <c r="L257" s="336">
        <f t="shared" si="52"/>
        <v>36153389</v>
      </c>
      <c r="M257" s="316">
        <f t="shared" si="53"/>
        <v>36153390</v>
      </c>
    </row>
    <row r="258" spans="1:13" s="248" customFormat="1" x14ac:dyDescent="0.25">
      <c r="A258" s="264">
        <v>45055</v>
      </c>
      <c r="B258" s="433">
        <v>45050</v>
      </c>
      <c r="C258" s="328" t="s">
        <v>4419</v>
      </c>
      <c r="D258" s="263" t="s">
        <v>297</v>
      </c>
      <c r="E258" s="265" t="s">
        <v>369</v>
      </c>
      <c r="F258" s="262" t="s">
        <v>395</v>
      </c>
      <c r="G258" s="247" t="s">
        <v>4548</v>
      </c>
      <c r="H258" s="316">
        <v>25436250</v>
      </c>
      <c r="I258" s="317">
        <v>1584080</v>
      </c>
      <c r="J258" s="527">
        <v>21488441</v>
      </c>
      <c r="K258" s="527">
        <v>2363728</v>
      </c>
      <c r="L258" s="336">
        <f t="shared" si="52"/>
        <v>23852169</v>
      </c>
      <c r="M258" s="316">
        <f t="shared" si="53"/>
        <v>23852170</v>
      </c>
    </row>
    <row r="259" spans="1:13" s="248" customFormat="1" x14ac:dyDescent="0.25">
      <c r="A259" s="264">
        <v>45055</v>
      </c>
      <c r="B259" s="433">
        <v>45051</v>
      </c>
      <c r="C259" s="328" t="s">
        <v>4420</v>
      </c>
      <c r="D259" s="263" t="s">
        <v>297</v>
      </c>
      <c r="E259" s="265" t="s">
        <v>369</v>
      </c>
      <c r="F259" s="262" t="s">
        <v>395</v>
      </c>
      <c r="G259" s="247" t="s">
        <v>4549</v>
      </c>
      <c r="H259" s="316">
        <v>26034750</v>
      </c>
      <c r="I259" s="317">
        <v>0</v>
      </c>
      <c r="J259" s="527">
        <v>23454729</v>
      </c>
      <c r="K259" s="527">
        <v>2580020</v>
      </c>
      <c r="L259" s="336">
        <f t="shared" si="52"/>
        <v>26034749</v>
      </c>
      <c r="M259" s="316">
        <f t="shared" si="53"/>
        <v>26034750</v>
      </c>
    </row>
    <row r="260" spans="1:13" s="248" customFormat="1" x14ac:dyDescent="0.25">
      <c r="A260" s="264">
        <v>45058</v>
      </c>
      <c r="B260" s="433">
        <v>45052</v>
      </c>
      <c r="C260" s="328" t="s">
        <v>4437</v>
      </c>
      <c r="D260" s="263" t="s">
        <v>297</v>
      </c>
      <c r="E260" s="265" t="s">
        <v>369</v>
      </c>
      <c r="F260" s="262" t="s">
        <v>395</v>
      </c>
      <c r="G260" s="247" t="s">
        <v>4550</v>
      </c>
      <c r="H260" s="316">
        <v>10342080</v>
      </c>
      <c r="I260" s="317">
        <v>0</v>
      </c>
      <c r="J260" s="527">
        <v>9317189</v>
      </c>
      <c r="K260" s="527">
        <v>1024890</v>
      </c>
      <c r="L260" s="336">
        <f t="shared" ref="L260:L271" si="54">SUM(J260:K260)</f>
        <v>10342079</v>
      </c>
      <c r="M260" s="316">
        <f t="shared" ref="M260:M271" si="55">H260-I260</f>
        <v>10342080</v>
      </c>
    </row>
    <row r="261" spans="1:13" s="248" customFormat="1" x14ac:dyDescent="0.25">
      <c r="A261" s="264">
        <v>45059</v>
      </c>
      <c r="B261" s="433">
        <v>45054</v>
      </c>
      <c r="C261" s="328" t="s">
        <v>4438</v>
      </c>
      <c r="D261" s="263" t="s">
        <v>297</v>
      </c>
      <c r="E261" s="265" t="s">
        <v>369</v>
      </c>
      <c r="F261" s="262" t="s">
        <v>395</v>
      </c>
      <c r="G261" s="247" t="s">
        <v>4551</v>
      </c>
      <c r="H261" s="316">
        <v>78158447.5</v>
      </c>
      <c r="I261" s="317">
        <v>0</v>
      </c>
      <c r="J261" s="527">
        <v>70413015</v>
      </c>
      <c r="K261" s="527">
        <v>7745431</v>
      </c>
      <c r="L261" s="336">
        <f t="shared" si="54"/>
        <v>78158446</v>
      </c>
      <c r="M261" s="316">
        <f t="shared" si="55"/>
        <v>78158447.5</v>
      </c>
    </row>
    <row r="262" spans="1:13" s="248" customFormat="1" x14ac:dyDescent="0.25">
      <c r="A262" s="264">
        <v>45059</v>
      </c>
      <c r="B262" s="433">
        <v>45054</v>
      </c>
      <c r="C262" s="328" t="s">
        <v>4553</v>
      </c>
      <c r="D262" s="263" t="s">
        <v>4540</v>
      </c>
      <c r="E262" s="265" t="s">
        <v>369</v>
      </c>
      <c r="F262" s="262" t="s">
        <v>395</v>
      </c>
      <c r="G262" s="247" t="s">
        <v>4552</v>
      </c>
      <c r="H262" s="316">
        <v>12813885</v>
      </c>
      <c r="I262" s="317">
        <v>0</v>
      </c>
      <c r="J262" s="527">
        <v>11544040</v>
      </c>
      <c r="K262" s="527">
        <v>1269844</v>
      </c>
      <c r="L262" s="336">
        <f>SUM(J262:K262)</f>
        <v>12813884</v>
      </c>
      <c r="M262" s="316">
        <f>H262-I262</f>
        <v>12813885</v>
      </c>
    </row>
    <row r="263" spans="1:13" s="248" customFormat="1" x14ac:dyDescent="0.25">
      <c r="A263" s="264">
        <v>45059</v>
      </c>
      <c r="B263" s="433">
        <v>45054</v>
      </c>
      <c r="C263" s="328" t="s">
        <v>4555</v>
      </c>
      <c r="D263" s="263" t="s">
        <v>4540</v>
      </c>
      <c r="E263" s="265" t="s">
        <v>369</v>
      </c>
      <c r="F263" s="262" t="s">
        <v>395</v>
      </c>
      <c r="G263" s="247" t="s">
        <v>4554</v>
      </c>
      <c r="H263" s="316">
        <v>30068640</v>
      </c>
      <c r="I263" s="317">
        <v>0</v>
      </c>
      <c r="J263" s="527">
        <v>27088864</v>
      </c>
      <c r="K263" s="527">
        <v>2979775</v>
      </c>
      <c r="L263" s="336">
        <f t="shared" ref="L263" si="56">SUM(J263:K263)</f>
        <v>30068639</v>
      </c>
      <c r="M263" s="316">
        <f t="shared" ref="M263" si="57">H263-I263</f>
        <v>30068640</v>
      </c>
    </row>
    <row r="264" spans="1:13" s="248" customFormat="1" x14ac:dyDescent="0.25">
      <c r="A264" s="264">
        <v>45059</v>
      </c>
      <c r="B264" s="433">
        <v>45054</v>
      </c>
      <c r="C264" s="328" t="s">
        <v>4557</v>
      </c>
      <c r="D264" s="263" t="s">
        <v>4540</v>
      </c>
      <c r="E264" s="265" t="s">
        <v>369</v>
      </c>
      <c r="F264" s="262" t="s">
        <v>395</v>
      </c>
      <c r="G264" s="247" t="s">
        <v>4556</v>
      </c>
      <c r="H264" s="316">
        <v>46354565</v>
      </c>
      <c r="I264" s="317">
        <v>1360000</v>
      </c>
      <c r="J264" s="527">
        <v>40535644</v>
      </c>
      <c r="K264" s="527">
        <v>4458920</v>
      </c>
      <c r="L264" s="336">
        <f t="shared" ref="L264" si="58">SUM(J264:K264)</f>
        <v>44994564</v>
      </c>
      <c r="M264" s="316">
        <f t="shared" ref="M264" si="59">H264-I264</f>
        <v>44994565</v>
      </c>
    </row>
    <row r="265" spans="1:13" s="248" customFormat="1" x14ac:dyDescent="0.25">
      <c r="A265" s="264">
        <v>45059</v>
      </c>
      <c r="B265" s="433">
        <v>45054</v>
      </c>
      <c r="C265" s="328" t="s">
        <v>4559</v>
      </c>
      <c r="D265" s="263" t="s">
        <v>4540</v>
      </c>
      <c r="E265" s="265" t="s">
        <v>369</v>
      </c>
      <c r="F265" s="262" t="s">
        <v>395</v>
      </c>
      <c r="G265" s="247" t="s">
        <v>4558</v>
      </c>
      <c r="H265" s="316">
        <v>12640320</v>
      </c>
      <c r="I265" s="317">
        <v>0</v>
      </c>
      <c r="J265" s="527">
        <v>11387675</v>
      </c>
      <c r="K265" s="527">
        <v>1252644</v>
      </c>
      <c r="L265" s="336">
        <f t="shared" ref="L265" si="60">SUM(J265:K265)</f>
        <v>12640319</v>
      </c>
      <c r="M265" s="316">
        <f t="shared" ref="M265" si="61">H265-I265</f>
        <v>12640320</v>
      </c>
    </row>
    <row r="266" spans="1:13" s="248" customFormat="1" x14ac:dyDescent="0.25">
      <c r="A266" s="264">
        <v>45059</v>
      </c>
      <c r="B266" s="433">
        <v>45054</v>
      </c>
      <c r="C266" s="328" t="s">
        <v>4439</v>
      </c>
      <c r="D266" s="263" t="s">
        <v>297</v>
      </c>
      <c r="E266" s="265" t="s">
        <v>369</v>
      </c>
      <c r="F266" s="262" t="s">
        <v>395</v>
      </c>
      <c r="G266" s="247" t="s">
        <v>4560</v>
      </c>
      <c r="H266" s="316">
        <v>20708100</v>
      </c>
      <c r="I266" s="317">
        <v>0</v>
      </c>
      <c r="J266" s="527">
        <v>18655945</v>
      </c>
      <c r="K266" s="527">
        <v>2052154</v>
      </c>
      <c r="L266" s="336">
        <f t="shared" si="54"/>
        <v>20708099</v>
      </c>
      <c r="M266" s="316">
        <f t="shared" si="55"/>
        <v>20708100</v>
      </c>
    </row>
    <row r="267" spans="1:13" s="248" customFormat="1" x14ac:dyDescent="0.25">
      <c r="A267" s="264">
        <v>45059</v>
      </c>
      <c r="B267" s="433">
        <v>45055</v>
      </c>
      <c r="C267" s="328" t="s">
        <v>4440</v>
      </c>
      <c r="D267" s="263" t="s">
        <v>297</v>
      </c>
      <c r="E267" s="265" t="s">
        <v>369</v>
      </c>
      <c r="F267" s="262" t="s">
        <v>395</v>
      </c>
      <c r="G267" s="247" t="s">
        <v>4561</v>
      </c>
      <c r="H267" s="316">
        <v>14056875</v>
      </c>
      <c r="I267" s="317">
        <v>0</v>
      </c>
      <c r="J267" s="527">
        <v>12663851</v>
      </c>
      <c r="K267" s="527">
        <v>1393023</v>
      </c>
      <c r="L267" s="336">
        <f t="shared" si="54"/>
        <v>14056874</v>
      </c>
      <c r="M267" s="316">
        <f t="shared" si="55"/>
        <v>14056875</v>
      </c>
    </row>
    <row r="268" spans="1:13" s="248" customFormat="1" x14ac:dyDescent="0.25">
      <c r="A268" s="264">
        <v>45061</v>
      </c>
      <c r="B268" s="433">
        <v>45056</v>
      </c>
      <c r="C268" s="328" t="s">
        <v>4441</v>
      </c>
      <c r="D268" s="263" t="s">
        <v>297</v>
      </c>
      <c r="E268" s="265" t="s">
        <v>369</v>
      </c>
      <c r="F268" s="262" t="s">
        <v>395</v>
      </c>
      <c r="G268" s="247" t="s">
        <v>4562</v>
      </c>
      <c r="H268" s="316">
        <v>5517172.5</v>
      </c>
      <c r="I268" s="317">
        <v>0</v>
      </c>
      <c r="J268" s="527">
        <v>4970425</v>
      </c>
      <c r="K268" s="527">
        <v>546746</v>
      </c>
      <c r="L268" s="336">
        <f t="shared" si="54"/>
        <v>5517171</v>
      </c>
      <c r="M268" s="316">
        <f t="shared" si="55"/>
        <v>5517172.5</v>
      </c>
    </row>
    <row r="269" spans="1:13" s="248" customFormat="1" x14ac:dyDescent="0.25">
      <c r="A269" s="264">
        <v>45061</v>
      </c>
      <c r="B269" s="433">
        <v>45057</v>
      </c>
      <c r="C269" s="328" t="s">
        <v>4442</v>
      </c>
      <c r="D269" s="263" t="s">
        <v>297</v>
      </c>
      <c r="E269" s="265" t="s">
        <v>369</v>
      </c>
      <c r="F269" s="262" t="s">
        <v>395</v>
      </c>
      <c r="G269" s="247" t="s">
        <v>4563</v>
      </c>
      <c r="H269" s="316">
        <v>8681242.5</v>
      </c>
      <c r="I269" s="317">
        <v>0</v>
      </c>
      <c r="J269" s="527">
        <v>7820939</v>
      </c>
      <c r="K269" s="527">
        <v>860303</v>
      </c>
      <c r="L269" s="336">
        <f t="shared" si="54"/>
        <v>8681242</v>
      </c>
      <c r="M269" s="316">
        <f t="shared" si="55"/>
        <v>8681242.5</v>
      </c>
    </row>
    <row r="270" spans="1:13" s="248" customFormat="1" x14ac:dyDescent="0.25">
      <c r="A270" s="264">
        <v>45061</v>
      </c>
      <c r="B270" s="433">
        <v>45057</v>
      </c>
      <c r="C270" s="328" t="s">
        <v>4443</v>
      </c>
      <c r="D270" s="263" t="s">
        <v>297</v>
      </c>
      <c r="E270" s="265" t="s">
        <v>369</v>
      </c>
      <c r="F270" s="262" t="s">
        <v>395</v>
      </c>
      <c r="G270" s="247" t="s">
        <v>4564</v>
      </c>
      <c r="H270" s="316">
        <v>22825293.75</v>
      </c>
      <c r="I270" s="317">
        <v>0</v>
      </c>
      <c r="J270" s="527">
        <v>20563327</v>
      </c>
      <c r="K270" s="527">
        <v>2261966</v>
      </c>
      <c r="L270" s="336">
        <f t="shared" si="54"/>
        <v>22825293</v>
      </c>
      <c r="M270" s="316">
        <f t="shared" si="55"/>
        <v>22825293.75</v>
      </c>
    </row>
    <row r="271" spans="1:13" s="248" customFormat="1" x14ac:dyDescent="0.25">
      <c r="A271" s="264">
        <v>45061</v>
      </c>
      <c r="B271" s="433">
        <v>45057</v>
      </c>
      <c r="C271" s="328" t="s">
        <v>4444</v>
      </c>
      <c r="D271" s="263" t="s">
        <v>297</v>
      </c>
      <c r="E271" s="265" t="s">
        <v>369</v>
      </c>
      <c r="F271" s="262" t="s">
        <v>395</v>
      </c>
      <c r="G271" s="247" t="s">
        <v>4565</v>
      </c>
      <c r="H271" s="316">
        <v>9312660</v>
      </c>
      <c r="I271" s="317">
        <v>0</v>
      </c>
      <c r="J271" s="527">
        <v>8389783</v>
      </c>
      <c r="K271" s="527">
        <v>922876</v>
      </c>
      <c r="L271" s="336">
        <f t="shared" si="54"/>
        <v>9312659</v>
      </c>
      <c r="M271" s="316">
        <f t="shared" si="55"/>
        <v>9312660</v>
      </c>
    </row>
    <row r="272" spans="1:13" s="248" customFormat="1" x14ac:dyDescent="0.25">
      <c r="A272" s="264">
        <v>45065</v>
      </c>
      <c r="B272" s="433">
        <v>45058</v>
      </c>
      <c r="C272" s="328" t="s">
        <v>4476</v>
      </c>
      <c r="D272" s="263" t="s">
        <v>297</v>
      </c>
      <c r="E272" s="265" t="s">
        <v>369</v>
      </c>
      <c r="F272" s="262" t="s">
        <v>395</v>
      </c>
      <c r="G272" s="247" t="s">
        <v>4566</v>
      </c>
      <c r="H272" s="316">
        <v>20695298.75</v>
      </c>
      <c r="I272" s="317">
        <v>0</v>
      </c>
      <c r="J272" s="527">
        <v>18644413</v>
      </c>
      <c r="K272" s="527">
        <v>2050885</v>
      </c>
      <c r="L272" s="336">
        <f t="shared" ref="L272:L280" si="62">SUM(J272:K272)</f>
        <v>20695298</v>
      </c>
      <c r="M272" s="316">
        <f t="shared" ref="M272:M280" si="63">H272-I272</f>
        <v>20695298.75</v>
      </c>
    </row>
    <row r="273" spans="1:13" s="248" customFormat="1" x14ac:dyDescent="0.25">
      <c r="A273" s="264">
        <v>45065</v>
      </c>
      <c r="B273" s="433">
        <v>45058</v>
      </c>
      <c r="C273" s="328" t="s">
        <v>4477</v>
      </c>
      <c r="D273" s="263" t="s">
        <v>297</v>
      </c>
      <c r="E273" s="265" t="s">
        <v>369</v>
      </c>
      <c r="F273" s="262" t="s">
        <v>395</v>
      </c>
      <c r="G273" s="247" t="s">
        <v>4567</v>
      </c>
      <c r="H273" s="316">
        <v>8043840</v>
      </c>
      <c r="I273" s="317">
        <v>0</v>
      </c>
      <c r="J273" s="527">
        <v>7246702</v>
      </c>
      <c r="K273" s="527">
        <v>797137</v>
      </c>
      <c r="L273" s="336">
        <f t="shared" si="62"/>
        <v>8043839</v>
      </c>
      <c r="M273" s="316">
        <f t="shared" si="63"/>
        <v>8043840</v>
      </c>
    </row>
    <row r="274" spans="1:13" s="248" customFormat="1" x14ac:dyDescent="0.25">
      <c r="A274" s="264">
        <v>45065</v>
      </c>
      <c r="B274" s="433">
        <v>45058</v>
      </c>
      <c r="C274" s="328" t="s">
        <v>4478</v>
      </c>
      <c r="D274" s="263" t="s">
        <v>297</v>
      </c>
      <c r="E274" s="265" t="s">
        <v>369</v>
      </c>
      <c r="F274" s="262" t="s">
        <v>395</v>
      </c>
      <c r="G274" s="247" t="s">
        <v>4568</v>
      </c>
      <c r="H274" s="316">
        <v>2836890</v>
      </c>
      <c r="I274" s="317">
        <v>0</v>
      </c>
      <c r="J274" s="527">
        <v>2555756</v>
      </c>
      <c r="K274" s="527">
        <v>281133</v>
      </c>
      <c r="L274" s="336">
        <f t="shared" si="62"/>
        <v>2836889</v>
      </c>
      <c r="M274" s="316">
        <f t="shared" si="63"/>
        <v>2836890</v>
      </c>
    </row>
    <row r="275" spans="1:13" s="248" customFormat="1" x14ac:dyDescent="0.25">
      <c r="A275" s="264">
        <v>45065</v>
      </c>
      <c r="B275" s="433">
        <v>45058</v>
      </c>
      <c r="C275" s="328" t="s">
        <v>4479</v>
      </c>
      <c r="D275" s="263" t="s">
        <v>297</v>
      </c>
      <c r="E275" s="265" t="s">
        <v>369</v>
      </c>
      <c r="F275" s="262" t="s">
        <v>395</v>
      </c>
      <c r="G275" s="247" t="s">
        <v>4569</v>
      </c>
      <c r="H275" s="316">
        <v>6894720</v>
      </c>
      <c r="I275" s="317">
        <v>0</v>
      </c>
      <c r="J275" s="527">
        <v>6211459</v>
      </c>
      <c r="K275" s="527">
        <v>683260</v>
      </c>
      <c r="L275" s="336">
        <f t="shared" si="62"/>
        <v>6894719</v>
      </c>
      <c r="M275" s="316">
        <f t="shared" si="63"/>
        <v>6894720</v>
      </c>
    </row>
    <row r="276" spans="1:13" s="248" customFormat="1" x14ac:dyDescent="0.25">
      <c r="A276" s="264">
        <v>45066</v>
      </c>
      <c r="B276" s="433">
        <v>45062</v>
      </c>
      <c r="C276" s="328" t="s">
        <v>4480</v>
      </c>
      <c r="D276" s="263" t="s">
        <v>297</v>
      </c>
      <c r="E276" s="265" t="s">
        <v>369</v>
      </c>
      <c r="F276" s="262" t="s">
        <v>395</v>
      </c>
      <c r="G276" s="247" t="s">
        <v>4570</v>
      </c>
      <c r="H276" s="316">
        <v>71820000</v>
      </c>
      <c r="I276" s="317">
        <v>0</v>
      </c>
      <c r="J276" s="527">
        <v>64702702</v>
      </c>
      <c r="K276" s="527">
        <v>7117297</v>
      </c>
      <c r="L276" s="336">
        <f t="shared" si="62"/>
        <v>71819999</v>
      </c>
      <c r="M276" s="316">
        <f t="shared" si="63"/>
        <v>71820000</v>
      </c>
    </row>
    <row r="277" spans="1:13" s="248" customFormat="1" x14ac:dyDescent="0.25">
      <c r="A277" s="264">
        <v>45066</v>
      </c>
      <c r="B277" s="433">
        <v>45062</v>
      </c>
      <c r="C277" s="328" t="s">
        <v>4481</v>
      </c>
      <c r="D277" s="263" t="s">
        <v>297</v>
      </c>
      <c r="E277" s="265" t="s">
        <v>369</v>
      </c>
      <c r="F277" s="262" t="s">
        <v>395</v>
      </c>
      <c r="G277" s="247" t="s">
        <v>4793</v>
      </c>
      <c r="H277" s="316">
        <v>42003395</v>
      </c>
      <c r="I277" s="317">
        <v>0</v>
      </c>
      <c r="J277" s="527">
        <v>37840896</v>
      </c>
      <c r="K277" s="527">
        <v>4162498</v>
      </c>
      <c r="L277" s="336">
        <f t="shared" si="62"/>
        <v>42003394</v>
      </c>
      <c r="M277" s="316">
        <f t="shared" si="63"/>
        <v>42003395</v>
      </c>
    </row>
    <row r="278" spans="1:13" s="248" customFormat="1" x14ac:dyDescent="0.25">
      <c r="A278" s="264">
        <v>45068</v>
      </c>
      <c r="B278" s="433">
        <v>45063</v>
      </c>
      <c r="C278" s="328" t="s">
        <v>4482</v>
      </c>
      <c r="D278" s="263" t="s">
        <v>297</v>
      </c>
      <c r="E278" s="265" t="s">
        <v>369</v>
      </c>
      <c r="F278" s="262" t="s">
        <v>395</v>
      </c>
      <c r="G278" s="247" t="s">
        <v>4794</v>
      </c>
      <c r="H278" s="316">
        <v>35256305</v>
      </c>
      <c r="I278" s="317">
        <v>0</v>
      </c>
      <c r="J278" s="527">
        <v>31762436</v>
      </c>
      <c r="K278" s="527">
        <v>3493868</v>
      </c>
      <c r="L278" s="336">
        <f t="shared" si="62"/>
        <v>35256304</v>
      </c>
      <c r="M278" s="316">
        <f t="shared" si="63"/>
        <v>35256305</v>
      </c>
    </row>
    <row r="279" spans="1:13" s="248" customFormat="1" x14ac:dyDescent="0.25">
      <c r="A279" s="264">
        <v>45068</v>
      </c>
      <c r="B279" s="433">
        <v>45063</v>
      </c>
      <c r="C279" s="328" t="s">
        <v>4483</v>
      </c>
      <c r="D279" s="263" t="s">
        <v>297</v>
      </c>
      <c r="E279" s="265" t="s">
        <v>369</v>
      </c>
      <c r="F279" s="262" t="s">
        <v>395</v>
      </c>
      <c r="G279" s="247" t="s">
        <v>4795</v>
      </c>
      <c r="H279" s="316">
        <v>18723906.25</v>
      </c>
      <c r="I279" s="317">
        <v>0</v>
      </c>
      <c r="J279" s="527">
        <v>16868384</v>
      </c>
      <c r="K279" s="527">
        <v>1855522</v>
      </c>
      <c r="L279" s="336">
        <f t="shared" si="62"/>
        <v>18723906</v>
      </c>
      <c r="M279" s="316">
        <f t="shared" si="63"/>
        <v>18723906.25</v>
      </c>
    </row>
    <row r="280" spans="1:13" s="248" customFormat="1" x14ac:dyDescent="0.25">
      <c r="A280" s="264">
        <v>45068</v>
      </c>
      <c r="B280" s="433">
        <v>45063</v>
      </c>
      <c r="C280" s="328" t="s">
        <v>4484</v>
      </c>
      <c r="D280" s="263" t="s">
        <v>297</v>
      </c>
      <c r="E280" s="265" t="s">
        <v>369</v>
      </c>
      <c r="F280" s="262" t="s">
        <v>395</v>
      </c>
      <c r="G280" s="247" t="s">
        <v>4796</v>
      </c>
      <c r="H280" s="316">
        <v>12239325</v>
      </c>
      <c r="I280" s="317">
        <v>0</v>
      </c>
      <c r="J280" s="527">
        <v>11026418</v>
      </c>
      <c r="K280" s="527">
        <v>1212906</v>
      </c>
      <c r="L280" s="336">
        <f t="shared" si="62"/>
        <v>12239324</v>
      </c>
      <c r="M280" s="316">
        <f t="shared" si="63"/>
        <v>12239325</v>
      </c>
    </row>
    <row r="281" spans="1:13" s="248" customFormat="1" x14ac:dyDescent="0.25">
      <c r="A281" s="264">
        <v>45070</v>
      </c>
      <c r="B281" s="433">
        <v>45066</v>
      </c>
      <c r="C281" s="328" t="s">
        <v>4487</v>
      </c>
      <c r="D281" s="263" t="s">
        <v>297</v>
      </c>
      <c r="E281" s="265" t="s">
        <v>369</v>
      </c>
      <c r="F281" s="262" t="s">
        <v>395</v>
      </c>
      <c r="G281" s="247" t="s">
        <v>4797</v>
      </c>
      <c r="H281" s="316">
        <v>28010797.5</v>
      </c>
      <c r="I281" s="317">
        <v>0</v>
      </c>
      <c r="J281" s="527">
        <v>25234952</v>
      </c>
      <c r="K281" s="527">
        <v>2775844</v>
      </c>
      <c r="L281" s="336">
        <f t="shared" ref="L281:L282" si="64">SUM(J281:K281)</f>
        <v>28010796</v>
      </c>
      <c r="M281" s="316">
        <f t="shared" ref="M281:M282" si="65">H281-I281</f>
        <v>28010797.5</v>
      </c>
    </row>
    <row r="282" spans="1:13" s="248" customFormat="1" x14ac:dyDescent="0.25">
      <c r="A282" s="264">
        <v>45070</v>
      </c>
      <c r="B282" s="433">
        <v>45066</v>
      </c>
      <c r="C282" s="328" t="s">
        <v>4488</v>
      </c>
      <c r="D282" s="263" t="s">
        <v>297</v>
      </c>
      <c r="E282" s="265" t="s">
        <v>369</v>
      </c>
      <c r="F282" s="262" t="s">
        <v>395</v>
      </c>
      <c r="G282" s="247" t="s">
        <v>4798</v>
      </c>
      <c r="H282" s="316">
        <v>27567693.75</v>
      </c>
      <c r="I282" s="317">
        <v>123975</v>
      </c>
      <c r="J282" s="527">
        <v>24724070</v>
      </c>
      <c r="K282" s="527">
        <v>2719647</v>
      </c>
      <c r="L282" s="336">
        <f t="shared" si="64"/>
        <v>27443717</v>
      </c>
      <c r="M282" s="316">
        <f t="shared" si="65"/>
        <v>27443718.75</v>
      </c>
    </row>
    <row r="283" spans="1:13" s="248" customFormat="1" x14ac:dyDescent="0.25">
      <c r="A283" s="264">
        <v>45073</v>
      </c>
      <c r="B283" s="433">
        <v>45068</v>
      </c>
      <c r="C283" s="328" t="s">
        <v>4510</v>
      </c>
      <c r="D283" s="263" t="s">
        <v>297</v>
      </c>
      <c r="E283" s="265" t="s">
        <v>369</v>
      </c>
      <c r="F283" s="262" t="s">
        <v>395</v>
      </c>
      <c r="G283" s="247" t="s">
        <v>4799</v>
      </c>
      <c r="H283" s="316">
        <v>42308131.25</v>
      </c>
      <c r="I283" s="317">
        <v>0</v>
      </c>
      <c r="J283" s="527">
        <v>38115433</v>
      </c>
      <c r="K283" s="527">
        <v>4192697</v>
      </c>
      <c r="L283" s="336">
        <f t="shared" ref="L283:L295" si="66">SUM(J283:K283)</f>
        <v>42308130</v>
      </c>
      <c r="M283" s="316">
        <f t="shared" ref="M283:M295" si="67">H283-I283</f>
        <v>42308131.25</v>
      </c>
    </row>
    <row r="284" spans="1:13" s="248" customFormat="1" x14ac:dyDescent="0.25">
      <c r="A284" s="264">
        <v>45073</v>
      </c>
      <c r="B284" s="433">
        <v>45068</v>
      </c>
      <c r="C284" s="328" t="s">
        <v>4511</v>
      </c>
      <c r="D284" s="263" t="s">
        <v>297</v>
      </c>
      <c r="E284" s="265" t="s">
        <v>369</v>
      </c>
      <c r="F284" s="262" t="s">
        <v>395</v>
      </c>
      <c r="G284" s="247" t="s">
        <v>4800</v>
      </c>
      <c r="H284" s="316">
        <v>30200310</v>
      </c>
      <c r="I284" s="317">
        <v>0</v>
      </c>
      <c r="J284" s="527">
        <v>27207486</v>
      </c>
      <c r="K284" s="527">
        <v>2992823</v>
      </c>
      <c r="L284" s="336">
        <f t="shared" si="66"/>
        <v>30200309</v>
      </c>
      <c r="M284" s="316">
        <f t="shared" si="67"/>
        <v>30200310</v>
      </c>
    </row>
    <row r="285" spans="1:13" s="248" customFormat="1" x14ac:dyDescent="0.25">
      <c r="A285" s="264">
        <v>45073</v>
      </c>
      <c r="B285" s="433">
        <v>45068</v>
      </c>
      <c r="C285" s="328" t="s">
        <v>4512</v>
      </c>
      <c r="D285" s="263" t="s">
        <v>297</v>
      </c>
      <c r="E285" s="265" t="s">
        <v>369</v>
      </c>
      <c r="F285" s="262" t="s">
        <v>395</v>
      </c>
      <c r="G285" s="247" t="s">
        <v>4801</v>
      </c>
      <c r="H285" s="316">
        <v>16825830</v>
      </c>
      <c r="I285" s="317">
        <v>0</v>
      </c>
      <c r="J285" s="527">
        <v>15158405</v>
      </c>
      <c r="K285" s="527">
        <v>1667424</v>
      </c>
      <c r="L285" s="336">
        <f t="shared" si="66"/>
        <v>16825829</v>
      </c>
      <c r="M285" s="316">
        <f t="shared" si="67"/>
        <v>16825830</v>
      </c>
    </row>
    <row r="286" spans="1:13" s="248" customFormat="1" x14ac:dyDescent="0.25">
      <c r="A286" s="264">
        <v>45073</v>
      </c>
      <c r="B286" s="433">
        <v>45068</v>
      </c>
      <c r="C286" s="328" t="s">
        <v>4513</v>
      </c>
      <c r="D286" s="263" t="s">
        <v>297</v>
      </c>
      <c r="E286" s="265" t="s">
        <v>369</v>
      </c>
      <c r="F286" s="262" t="s">
        <v>395</v>
      </c>
      <c r="G286" s="247" t="s">
        <v>4802</v>
      </c>
      <c r="H286" s="316">
        <v>38601464</v>
      </c>
      <c r="I286" s="317">
        <v>270864</v>
      </c>
      <c r="J286" s="527">
        <v>34532072</v>
      </c>
      <c r="K286" s="527">
        <v>3798527</v>
      </c>
      <c r="L286" s="336">
        <f t="shared" si="66"/>
        <v>38330599</v>
      </c>
      <c r="M286" s="316">
        <f t="shared" si="67"/>
        <v>38330600</v>
      </c>
    </row>
    <row r="287" spans="1:13" s="248" customFormat="1" x14ac:dyDescent="0.25">
      <c r="A287" s="264">
        <v>45073</v>
      </c>
      <c r="B287" s="433">
        <v>45068</v>
      </c>
      <c r="C287" s="328" t="s">
        <v>4514</v>
      </c>
      <c r="D287" s="263" t="s">
        <v>297</v>
      </c>
      <c r="E287" s="265" t="s">
        <v>369</v>
      </c>
      <c r="F287" s="262" t="s">
        <v>395</v>
      </c>
      <c r="G287" s="247" t="s">
        <v>4803</v>
      </c>
      <c r="H287" s="316">
        <v>49114905</v>
      </c>
      <c r="I287" s="317">
        <v>2169562.5</v>
      </c>
      <c r="J287" s="527">
        <v>42293101</v>
      </c>
      <c r="K287" s="527">
        <v>4652241</v>
      </c>
      <c r="L287" s="336">
        <f t="shared" si="66"/>
        <v>46945342</v>
      </c>
      <c r="M287" s="316">
        <f t="shared" si="67"/>
        <v>46945342.5</v>
      </c>
    </row>
    <row r="288" spans="1:13" s="248" customFormat="1" x14ac:dyDescent="0.25">
      <c r="A288" s="264">
        <v>45073</v>
      </c>
      <c r="B288" s="433">
        <v>45068</v>
      </c>
      <c r="C288" s="328" t="s">
        <v>4515</v>
      </c>
      <c r="D288" s="263" t="s">
        <v>297</v>
      </c>
      <c r="E288" s="265" t="s">
        <v>369</v>
      </c>
      <c r="F288" s="262" t="s">
        <v>395</v>
      </c>
      <c r="G288" s="247" t="s">
        <v>4804</v>
      </c>
      <c r="H288" s="316">
        <v>12616961.875</v>
      </c>
      <c r="I288" s="317">
        <v>0</v>
      </c>
      <c r="J288" s="527">
        <v>11366632</v>
      </c>
      <c r="K288" s="527">
        <v>1250329</v>
      </c>
      <c r="L288" s="336">
        <f t="shared" si="66"/>
        <v>12616961</v>
      </c>
      <c r="M288" s="316">
        <f t="shared" si="67"/>
        <v>12616961.875</v>
      </c>
    </row>
    <row r="289" spans="1:13" s="248" customFormat="1" x14ac:dyDescent="0.25">
      <c r="A289" s="264">
        <v>45073</v>
      </c>
      <c r="B289" s="433">
        <v>45068</v>
      </c>
      <c r="C289" s="328" t="s">
        <v>4516</v>
      </c>
      <c r="D289" s="263" t="s">
        <v>297</v>
      </c>
      <c r="E289" s="265" t="s">
        <v>369</v>
      </c>
      <c r="F289" s="262" t="s">
        <v>395</v>
      </c>
      <c r="G289" s="247" t="s">
        <v>4805</v>
      </c>
      <c r="H289" s="316">
        <v>28727168.75</v>
      </c>
      <c r="I289" s="317">
        <v>0</v>
      </c>
      <c r="J289" s="527">
        <v>25880332</v>
      </c>
      <c r="K289" s="527">
        <v>2846836</v>
      </c>
      <c r="L289" s="336">
        <f t="shared" si="66"/>
        <v>28727168</v>
      </c>
      <c r="M289" s="316">
        <f t="shared" si="67"/>
        <v>28727168.75</v>
      </c>
    </row>
    <row r="290" spans="1:13" s="248" customFormat="1" x14ac:dyDescent="0.25">
      <c r="A290" s="264">
        <v>45073</v>
      </c>
      <c r="B290" s="433">
        <v>45070</v>
      </c>
      <c r="C290" s="328" t="s">
        <v>4517</v>
      </c>
      <c r="D290" s="263" t="s">
        <v>297</v>
      </c>
      <c r="E290" s="265" t="s">
        <v>369</v>
      </c>
      <c r="F290" s="262" t="s">
        <v>395</v>
      </c>
      <c r="G290" s="247" t="s">
        <v>4806</v>
      </c>
      <c r="H290" s="316">
        <v>12644226.875</v>
      </c>
      <c r="I290" s="317">
        <v>0</v>
      </c>
      <c r="J290" s="527">
        <v>11391195</v>
      </c>
      <c r="K290" s="527">
        <v>1253031</v>
      </c>
      <c r="L290" s="336">
        <f t="shared" si="66"/>
        <v>12644226</v>
      </c>
      <c r="M290" s="316">
        <f t="shared" si="67"/>
        <v>12644226.875</v>
      </c>
    </row>
    <row r="291" spans="1:13" s="248" customFormat="1" x14ac:dyDescent="0.25">
      <c r="A291" s="264">
        <v>45073</v>
      </c>
      <c r="B291" s="433">
        <v>45070</v>
      </c>
      <c r="C291" s="328" t="s">
        <v>4518</v>
      </c>
      <c r="D291" s="263" t="s">
        <v>297</v>
      </c>
      <c r="E291" s="265" t="s">
        <v>369</v>
      </c>
      <c r="F291" s="262" t="s">
        <v>395</v>
      </c>
      <c r="G291" s="247" t="s">
        <v>4807</v>
      </c>
      <c r="H291" s="316">
        <v>22617315</v>
      </c>
      <c r="I291" s="317">
        <v>867825</v>
      </c>
      <c r="J291" s="527">
        <v>19594135</v>
      </c>
      <c r="K291" s="527">
        <v>2155354</v>
      </c>
      <c r="L291" s="336">
        <f t="shared" si="66"/>
        <v>21749489</v>
      </c>
      <c r="M291" s="316">
        <f t="shared" si="67"/>
        <v>21749490</v>
      </c>
    </row>
    <row r="292" spans="1:13" s="248" customFormat="1" x14ac:dyDescent="0.25">
      <c r="A292" s="264">
        <v>45073</v>
      </c>
      <c r="B292" s="433">
        <v>45070</v>
      </c>
      <c r="C292" s="328" t="s">
        <v>4519</v>
      </c>
      <c r="D292" s="263" t="s">
        <v>297</v>
      </c>
      <c r="E292" s="265" t="s">
        <v>369</v>
      </c>
      <c r="F292" s="262" t="s">
        <v>395</v>
      </c>
      <c r="G292" s="247" t="s">
        <v>4808</v>
      </c>
      <c r="H292" s="316">
        <v>4734135</v>
      </c>
      <c r="I292" s="317">
        <v>0</v>
      </c>
      <c r="J292" s="527">
        <v>4264986</v>
      </c>
      <c r="K292" s="527">
        <v>469148</v>
      </c>
      <c r="L292" s="336">
        <f t="shared" si="66"/>
        <v>4734134</v>
      </c>
      <c r="M292" s="316">
        <f t="shared" si="67"/>
        <v>4734135</v>
      </c>
    </row>
    <row r="293" spans="1:13" s="248" customFormat="1" x14ac:dyDescent="0.25">
      <c r="A293" s="264">
        <v>45073</v>
      </c>
      <c r="B293" s="433">
        <v>45070</v>
      </c>
      <c r="C293" s="328" t="s">
        <v>4520</v>
      </c>
      <c r="D293" s="263" t="s">
        <v>297</v>
      </c>
      <c r="E293" s="265" t="s">
        <v>369</v>
      </c>
      <c r="F293" s="262" t="s">
        <v>395</v>
      </c>
      <c r="G293" s="247" t="s">
        <v>4809</v>
      </c>
      <c r="H293" s="316">
        <v>15568125</v>
      </c>
      <c r="I293" s="317">
        <v>495900</v>
      </c>
      <c r="J293" s="527">
        <v>13578581</v>
      </c>
      <c r="K293" s="527">
        <v>1493643</v>
      </c>
      <c r="L293" s="336">
        <f t="shared" si="66"/>
        <v>15072224</v>
      </c>
      <c r="M293" s="316">
        <f t="shared" si="67"/>
        <v>15072225</v>
      </c>
    </row>
    <row r="294" spans="1:13" s="248" customFormat="1" x14ac:dyDescent="0.25">
      <c r="A294" s="264">
        <v>45075</v>
      </c>
      <c r="B294" s="433">
        <v>45071</v>
      </c>
      <c r="C294" s="328" t="s">
        <v>4521</v>
      </c>
      <c r="D294" s="263" t="s">
        <v>297</v>
      </c>
      <c r="E294" s="265" t="s">
        <v>369</v>
      </c>
      <c r="F294" s="262" t="s">
        <v>395</v>
      </c>
      <c r="G294" s="247" t="s">
        <v>4810</v>
      </c>
      <c r="H294" s="316">
        <v>1029420</v>
      </c>
      <c r="I294" s="317">
        <v>0</v>
      </c>
      <c r="J294" s="527">
        <v>927405</v>
      </c>
      <c r="K294" s="527">
        <v>102014</v>
      </c>
      <c r="L294" s="336">
        <f t="shared" si="66"/>
        <v>1029419</v>
      </c>
      <c r="M294" s="316">
        <f t="shared" si="67"/>
        <v>1029420</v>
      </c>
    </row>
    <row r="295" spans="1:13" s="248" customFormat="1" x14ac:dyDescent="0.25">
      <c r="A295" s="264">
        <v>45075</v>
      </c>
      <c r="B295" s="433">
        <v>45072</v>
      </c>
      <c r="C295" s="328" t="s">
        <v>4522</v>
      </c>
      <c r="D295" s="263" t="s">
        <v>297</v>
      </c>
      <c r="E295" s="265" t="s">
        <v>369</v>
      </c>
      <c r="F295" s="262" t="s">
        <v>395</v>
      </c>
      <c r="G295" s="247" t="s">
        <v>4811</v>
      </c>
      <c r="H295" s="316">
        <v>4372375</v>
      </c>
      <c r="I295" s="317">
        <v>0</v>
      </c>
      <c r="J295" s="527">
        <v>3939076</v>
      </c>
      <c r="K295" s="527">
        <v>433298</v>
      </c>
      <c r="L295" s="336">
        <f t="shared" si="66"/>
        <v>4372374</v>
      </c>
      <c r="M295" s="316">
        <f t="shared" si="67"/>
        <v>4372375</v>
      </c>
    </row>
    <row r="296" spans="1:13" s="248" customFormat="1" x14ac:dyDescent="0.25">
      <c r="A296" s="264">
        <v>45079</v>
      </c>
      <c r="B296" s="433">
        <v>45075</v>
      </c>
      <c r="C296" s="328" t="s">
        <v>4536</v>
      </c>
      <c r="D296" s="263" t="s">
        <v>297</v>
      </c>
      <c r="E296" s="265" t="s">
        <v>369</v>
      </c>
      <c r="F296" s="262" t="s">
        <v>395</v>
      </c>
      <c r="G296" s="247" t="s">
        <v>4812</v>
      </c>
      <c r="H296" s="316">
        <v>8252317.5</v>
      </c>
      <c r="I296" s="317">
        <v>0</v>
      </c>
      <c r="J296" s="527">
        <v>7434520</v>
      </c>
      <c r="K296" s="527">
        <v>817797</v>
      </c>
      <c r="L296" s="336">
        <f t="shared" ref="L296:L299" si="68">SUM(J296:K296)</f>
        <v>8252317</v>
      </c>
      <c r="M296" s="316">
        <f t="shared" ref="M296:M299" si="69">H296-I296</f>
        <v>8252317.5</v>
      </c>
    </row>
    <row r="297" spans="1:13" s="248" customFormat="1" x14ac:dyDescent="0.25">
      <c r="A297" s="264">
        <v>45079</v>
      </c>
      <c r="B297" s="433">
        <v>45076</v>
      </c>
      <c r="C297" s="328" t="s">
        <v>4537</v>
      </c>
      <c r="D297" s="263" t="s">
        <v>297</v>
      </c>
      <c r="E297" s="265" t="s">
        <v>369</v>
      </c>
      <c r="F297" s="262" t="s">
        <v>395</v>
      </c>
      <c r="G297" s="247" t="s">
        <v>4813</v>
      </c>
      <c r="H297" s="316">
        <v>33529798.75</v>
      </c>
      <c r="I297" s="317">
        <v>0</v>
      </c>
      <c r="J297" s="527">
        <v>30207025</v>
      </c>
      <c r="K297" s="527">
        <v>3322772</v>
      </c>
      <c r="L297" s="336">
        <f t="shared" si="68"/>
        <v>33529797</v>
      </c>
      <c r="M297" s="316">
        <f t="shared" si="69"/>
        <v>33529798.75</v>
      </c>
    </row>
    <row r="298" spans="1:13" s="248" customFormat="1" x14ac:dyDescent="0.25">
      <c r="A298" s="264">
        <v>45079</v>
      </c>
      <c r="B298" s="433">
        <v>45076</v>
      </c>
      <c r="C298" s="328" t="s">
        <v>4538</v>
      </c>
      <c r="D298" s="263" t="s">
        <v>297</v>
      </c>
      <c r="E298" s="265" t="s">
        <v>369</v>
      </c>
      <c r="F298" s="262" t="s">
        <v>395</v>
      </c>
      <c r="G298" s="247" t="s">
        <v>4814</v>
      </c>
      <c r="H298" s="316">
        <v>10164525</v>
      </c>
      <c r="I298" s="317">
        <v>0</v>
      </c>
      <c r="J298" s="527">
        <v>9157229</v>
      </c>
      <c r="K298" s="527">
        <v>1007295</v>
      </c>
      <c r="L298" s="336">
        <f t="shared" si="68"/>
        <v>10164524</v>
      </c>
      <c r="M298" s="316">
        <f t="shared" si="69"/>
        <v>10164525</v>
      </c>
    </row>
    <row r="299" spans="1:13" s="248" customFormat="1" x14ac:dyDescent="0.25">
      <c r="A299" s="264">
        <v>45079</v>
      </c>
      <c r="B299" s="433">
        <v>45076</v>
      </c>
      <c r="C299" s="328" t="s">
        <v>4539</v>
      </c>
      <c r="D299" s="263" t="s">
        <v>297</v>
      </c>
      <c r="E299" s="265" t="s">
        <v>369</v>
      </c>
      <c r="F299" s="262" t="s">
        <v>395</v>
      </c>
      <c r="G299" s="247" t="s">
        <v>4815</v>
      </c>
      <c r="H299" s="316">
        <v>8057662.5</v>
      </c>
      <c r="I299" s="317">
        <v>0</v>
      </c>
      <c r="J299" s="527">
        <v>6924087</v>
      </c>
      <c r="K299" s="527">
        <v>761649</v>
      </c>
      <c r="L299" s="336">
        <f t="shared" si="68"/>
        <v>7685736</v>
      </c>
      <c r="M299" s="316">
        <f t="shared" si="69"/>
        <v>8057662.5</v>
      </c>
    </row>
    <row r="300" spans="1:13" s="248" customFormat="1" x14ac:dyDescent="0.25">
      <c r="A300" s="264">
        <v>45082</v>
      </c>
      <c r="B300" s="433">
        <v>45077</v>
      </c>
      <c r="C300" s="328" t="s">
        <v>4620</v>
      </c>
      <c r="D300" s="263" t="s">
        <v>297</v>
      </c>
      <c r="E300" s="265" t="s">
        <v>369</v>
      </c>
      <c r="F300" s="262" t="s">
        <v>395</v>
      </c>
      <c r="G300" s="247" t="s">
        <v>4816</v>
      </c>
      <c r="H300" s="316">
        <v>2086437.5</v>
      </c>
      <c r="I300" s="317">
        <v>0</v>
      </c>
      <c r="J300" s="527">
        <v>1879673</v>
      </c>
      <c r="K300" s="527">
        <v>206764</v>
      </c>
      <c r="L300" s="336">
        <f t="shared" ref="L300" si="70">SUM(J300:K300)</f>
        <v>2086437</v>
      </c>
      <c r="M300" s="316">
        <f t="shared" ref="M300" si="71">H300-I300</f>
        <v>2086437.5</v>
      </c>
    </row>
    <row r="301" spans="1:13" s="248" customFormat="1" x14ac:dyDescent="0.25">
      <c r="A301" s="264">
        <v>45055</v>
      </c>
      <c r="B301" s="433">
        <v>45050</v>
      </c>
      <c r="C301" s="328" t="s">
        <v>4421</v>
      </c>
      <c r="D301" s="263" t="s">
        <v>299</v>
      </c>
      <c r="E301" s="265" t="s">
        <v>372</v>
      </c>
      <c r="F301" s="262" t="s">
        <v>6274</v>
      </c>
      <c r="G301" s="247" t="s">
        <v>4791</v>
      </c>
      <c r="H301" s="316">
        <v>13945468</v>
      </c>
      <c r="I301" s="317">
        <v>1382000</v>
      </c>
      <c r="J301" s="527">
        <v>11318439</v>
      </c>
      <c r="K301" s="527">
        <v>1245028</v>
      </c>
      <c r="L301" s="336">
        <f t="shared" ref="L301" si="72">SUM(J301:K301)</f>
        <v>12563467</v>
      </c>
      <c r="M301" s="316">
        <f t="shared" ref="M301" si="73">H301-I301</f>
        <v>12563468</v>
      </c>
    </row>
    <row r="302" spans="1:13" s="248" customFormat="1" x14ac:dyDescent="0.25">
      <c r="A302" s="264">
        <v>45058</v>
      </c>
      <c r="B302" s="433">
        <v>45054</v>
      </c>
      <c r="C302" s="328" t="s">
        <v>4445</v>
      </c>
      <c r="D302" s="263" t="s">
        <v>299</v>
      </c>
      <c r="E302" s="265" t="s">
        <v>372</v>
      </c>
      <c r="F302" s="262" t="s">
        <v>6274</v>
      </c>
      <c r="G302" s="247" t="s">
        <v>4792</v>
      </c>
      <c r="H302" s="316">
        <v>11374929.5</v>
      </c>
      <c r="I302" s="317">
        <v>36679.5</v>
      </c>
      <c r="J302" s="527">
        <v>10214639</v>
      </c>
      <c r="K302" s="527">
        <v>1123610</v>
      </c>
      <c r="L302" s="336">
        <f t="shared" ref="L302" si="74">SUM(J302:K302)</f>
        <v>11338249</v>
      </c>
      <c r="M302" s="316">
        <f t="shared" ref="M302" si="75">H302-I302</f>
        <v>11338250</v>
      </c>
    </row>
    <row r="303" spans="1:13" s="248" customFormat="1" x14ac:dyDescent="0.25">
      <c r="A303" s="264">
        <v>45045</v>
      </c>
      <c r="B303" s="433">
        <v>45048</v>
      </c>
      <c r="C303" s="328" t="s">
        <v>4411</v>
      </c>
      <c r="D303" s="263" t="s">
        <v>376</v>
      </c>
      <c r="E303" s="265" t="s">
        <v>377</v>
      </c>
      <c r="F303" s="262" t="s">
        <v>4316</v>
      </c>
      <c r="G303" s="247" t="s">
        <v>4449</v>
      </c>
      <c r="H303" s="316">
        <v>152560800</v>
      </c>
      <c r="I303" s="317">
        <v>25935336</v>
      </c>
      <c r="J303" s="527">
        <v>114076994</v>
      </c>
      <c r="K303" s="527">
        <v>12548469</v>
      </c>
      <c r="L303" s="336">
        <f t="shared" ref="L303:L307" si="76">SUM(J303:K303)</f>
        <v>126625463</v>
      </c>
      <c r="M303" s="316">
        <f t="shared" ref="M303:M307" si="77">H303-I303</f>
        <v>126625464</v>
      </c>
    </row>
    <row r="304" spans="1:13" s="248" customFormat="1" x14ac:dyDescent="0.25">
      <c r="A304" s="264">
        <v>45052</v>
      </c>
      <c r="B304" s="433">
        <v>45049</v>
      </c>
      <c r="C304" s="328" t="s">
        <v>4412</v>
      </c>
      <c r="D304" s="263" t="s">
        <v>376</v>
      </c>
      <c r="E304" s="265" t="s">
        <v>377</v>
      </c>
      <c r="F304" s="262" t="s">
        <v>4316</v>
      </c>
      <c r="G304" s="247" t="s">
        <v>4450</v>
      </c>
      <c r="H304" s="316">
        <v>12166800</v>
      </c>
      <c r="I304" s="317">
        <v>2068356</v>
      </c>
      <c r="J304" s="527">
        <v>9097697</v>
      </c>
      <c r="K304" s="527">
        <v>1000746</v>
      </c>
      <c r="L304" s="336">
        <f t="shared" si="76"/>
        <v>10098443</v>
      </c>
      <c r="M304" s="316">
        <f t="shared" si="77"/>
        <v>10098444</v>
      </c>
    </row>
    <row r="305" spans="1:13" s="248" customFormat="1" x14ac:dyDescent="0.25">
      <c r="A305" s="264">
        <v>45052</v>
      </c>
      <c r="B305" s="433">
        <v>45049</v>
      </c>
      <c r="C305" s="328" t="s">
        <v>4413</v>
      </c>
      <c r="D305" s="263" t="s">
        <v>376</v>
      </c>
      <c r="E305" s="265" t="s">
        <v>377</v>
      </c>
      <c r="F305" s="262" t="s">
        <v>4316</v>
      </c>
      <c r="G305" s="247" t="s">
        <v>4451</v>
      </c>
      <c r="H305" s="316">
        <v>46440000</v>
      </c>
      <c r="I305" s="317">
        <v>7894800</v>
      </c>
      <c r="J305" s="527">
        <v>34725405</v>
      </c>
      <c r="K305" s="527">
        <v>3819794</v>
      </c>
      <c r="L305" s="336">
        <f t="shared" si="76"/>
        <v>38545199</v>
      </c>
      <c r="M305" s="316">
        <f t="shared" si="77"/>
        <v>38545200</v>
      </c>
    </row>
    <row r="306" spans="1:13" s="248" customFormat="1" x14ac:dyDescent="0.25">
      <c r="A306" s="264">
        <v>45055</v>
      </c>
      <c r="B306" s="433">
        <v>45050</v>
      </c>
      <c r="C306" s="328" t="s">
        <v>4414</v>
      </c>
      <c r="D306" s="263" t="s">
        <v>376</v>
      </c>
      <c r="E306" s="265" t="s">
        <v>377</v>
      </c>
      <c r="F306" s="262" t="s">
        <v>4316</v>
      </c>
      <c r="G306" s="247" t="s">
        <v>4452</v>
      </c>
      <c r="H306" s="316">
        <v>6177600</v>
      </c>
      <c r="I306" s="317">
        <v>1050192</v>
      </c>
      <c r="J306" s="527">
        <v>4619286</v>
      </c>
      <c r="K306" s="527">
        <v>508121</v>
      </c>
      <c r="L306" s="336">
        <f t="shared" si="76"/>
        <v>5127407</v>
      </c>
      <c r="M306" s="316">
        <f t="shared" si="77"/>
        <v>5127408</v>
      </c>
    </row>
    <row r="307" spans="1:13" s="248" customFormat="1" x14ac:dyDescent="0.25">
      <c r="A307" s="264">
        <v>45055</v>
      </c>
      <c r="B307" s="433">
        <v>45051</v>
      </c>
      <c r="C307" s="328" t="s">
        <v>4415</v>
      </c>
      <c r="D307" s="263" t="s">
        <v>376</v>
      </c>
      <c r="E307" s="265" t="s">
        <v>377</v>
      </c>
      <c r="F307" s="262" t="s">
        <v>4316</v>
      </c>
      <c r="G307" s="247" t="s">
        <v>4453</v>
      </c>
      <c r="H307" s="316">
        <v>12968400</v>
      </c>
      <c r="I307" s="317">
        <v>2204628</v>
      </c>
      <c r="J307" s="527">
        <v>9697091</v>
      </c>
      <c r="K307" s="527">
        <v>1066680</v>
      </c>
      <c r="L307" s="336">
        <f t="shared" si="76"/>
        <v>10763771</v>
      </c>
      <c r="M307" s="316">
        <f t="shared" si="77"/>
        <v>10763772</v>
      </c>
    </row>
    <row r="308" spans="1:13" s="248" customFormat="1" x14ac:dyDescent="0.25">
      <c r="A308" s="264">
        <v>45057</v>
      </c>
      <c r="B308" s="433">
        <v>45052</v>
      </c>
      <c r="C308" s="328" t="s">
        <v>4435</v>
      </c>
      <c r="D308" s="263" t="s">
        <v>376</v>
      </c>
      <c r="E308" s="265" t="s">
        <v>377</v>
      </c>
      <c r="F308" s="262" t="s">
        <v>4316</v>
      </c>
      <c r="G308" s="247" t="s">
        <v>4454</v>
      </c>
      <c r="H308" s="316">
        <v>27554400</v>
      </c>
      <c r="I308" s="317">
        <v>4684248</v>
      </c>
      <c r="J308" s="527">
        <v>20603740</v>
      </c>
      <c r="K308" s="527">
        <v>2266411</v>
      </c>
      <c r="L308" s="336">
        <f t="shared" ref="L308:L309" si="78">SUM(J308:K308)</f>
        <v>22870151</v>
      </c>
      <c r="M308" s="316">
        <f t="shared" ref="M308:M309" si="79">H308-I308</f>
        <v>22870152</v>
      </c>
    </row>
    <row r="309" spans="1:13" s="248" customFormat="1" x14ac:dyDescent="0.25">
      <c r="A309" s="264">
        <v>45057</v>
      </c>
      <c r="B309" s="433">
        <v>45052</v>
      </c>
      <c r="C309" s="328" t="s">
        <v>4436</v>
      </c>
      <c r="D309" s="263" t="s">
        <v>376</v>
      </c>
      <c r="E309" s="265" t="s">
        <v>377</v>
      </c>
      <c r="F309" s="262" t="s">
        <v>4316</v>
      </c>
      <c r="G309" s="247" t="s">
        <v>4455</v>
      </c>
      <c r="H309" s="316">
        <v>46584000</v>
      </c>
      <c r="I309" s="317">
        <v>9852516</v>
      </c>
      <c r="J309" s="527">
        <v>33091427</v>
      </c>
      <c r="K309" s="527">
        <v>3640056</v>
      </c>
      <c r="L309" s="336">
        <f t="shared" si="78"/>
        <v>36731483</v>
      </c>
      <c r="M309" s="316">
        <f t="shared" si="79"/>
        <v>36731484</v>
      </c>
    </row>
    <row r="310" spans="1:13" s="248" customFormat="1" x14ac:dyDescent="0.25">
      <c r="A310" s="264">
        <v>45059</v>
      </c>
      <c r="B310" s="433">
        <v>45054</v>
      </c>
      <c r="C310" s="328" t="s">
        <v>4529</v>
      </c>
      <c r="D310" s="263" t="s">
        <v>376</v>
      </c>
      <c r="E310" s="265" t="s">
        <v>377</v>
      </c>
      <c r="F310" s="262" t="s">
        <v>4316</v>
      </c>
      <c r="G310" s="247" t="s">
        <v>4456</v>
      </c>
      <c r="H310" s="316">
        <v>78597600</v>
      </c>
      <c r="I310" s="317">
        <v>13361592</v>
      </c>
      <c r="J310" s="527">
        <v>58771178</v>
      </c>
      <c r="K310" s="527">
        <v>6464829</v>
      </c>
      <c r="L310" s="336">
        <f t="shared" ref="L310:L314" si="80">SUM(J310:K310)</f>
        <v>65236007</v>
      </c>
      <c r="M310" s="316">
        <f t="shared" ref="M310:M326" si="81">H310-I310</f>
        <v>65236008</v>
      </c>
    </row>
    <row r="311" spans="1:13" s="248" customFormat="1" x14ac:dyDescent="0.25">
      <c r="A311" s="264">
        <v>45059</v>
      </c>
      <c r="B311" s="433">
        <v>45055</v>
      </c>
      <c r="C311" s="328" t="s">
        <v>4530</v>
      </c>
      <c r="D311" s="263" t="s">
        <v>376</v>
      </c>
      <c r="E311" s="265" t="s">
        <v>377</v>
      </c>
      <c r="F311" s="262" t="s">
        <v>4316</v>
      </c>
      <c r="G311" s="247" t="s">
        <v>4457</v>
      </c>
      <c r="H311" s="316">
        <v>183157200.00390002</v>
      </c>
      <c r="I311" s="317">
        <v>31136724.000663001</v>
      </c>
      <c r="J311" s="527">
        <v>136955383</v>
      </c>
      <c r="K311" s="527">
        <v>15065092</v>
      </c>
      <c r="L311" s="336">
        <f t="shared" si="80"/>
        <v>152020475</v>
      </c>
      <c r="M311" s="316">
        <f t="shared" si="81"/>
        <v>152020476.00323701</v>
      </c>
    </row>
    <row r="312" spans="1:13" s="248" customFormat="1" x14ac:dyDescent="0.25">
      <c r="A312" s="264">
        <v>45059</v>
      </c>
      <c r="B312" s="433">
        <v>45055</v>
      </c>
      <c r="C312" s="328" t="s">
        <v>4531</v>
      </c>
      <c r="D312" s="263" t="s">
        <v>376</v>
      </c>
      <c r="E312" s="265" t="s">
        <v>377</v>
      </c>
      <c r="F312" s="262" t="s">
        <v>4316</v>
      </c>
      <c r="G312" s="247" t="s">
        <v>4458</v>
      </c>
      <c r="H312" s="316">
        <v>94607999.997299999</v>
      </c>
      <c r="I312" s="317">
        <v>20009591.999428954</v>
      </c>
      <c r="J312" s="527">
        <v>67205772</v>
      </c>
      <c r="K312" s="527">
        <v>7392635</v>
      </c>
      <c r="L312" s="336">
        <f t="shared" si="80"/>
        <v>74598407</v>
      </c>
      <c r="M312" s="316">
        <f t="shared" si="81"/>
        <v>74598407.997871041</v>
      </c>
    </row>
    <row r="313" spans="1:13" s="248" customFormat="1" x14ac:dyDescent="0.25">
      <c r="A313" s="264">
        <v>45059</v>
      </c>
      <c r="B313" s="433">
        <v>45055</v>
      </c>
      <c r="C313" s="328">
        <v>23050811</v>
      </c>
      <c r="D313" s="263" t="s">
        <v>376</v>
      </c>
      <c r="E313" s="265" t="s">
        <v>377</v>
      </c>
      <c r="F313" s="262" t="s">
        <v>4316</v>
      </c>
      <c r="G313" s="247" t="s">
        <v>4459</v>
      </c>
      <c r="H313" s="316">
        <v>4500000</v>
      </c>
      <c r="I313" s="317">
        <v>765000</v>
      </c>
      <c r="J313" s="527">
        <v>3364864</v>
      </c>
      <c r="K313" s="527">
        <v>370135</v>
      </c>
      <c r="L313" s="336">
        <f t="shared" si="80"/>
        <v>3734999</v>
      </c>
      <c r="M313" s="316">
        <f t="shared" si="81"/>
        <v>3735000</v>
      </c>
    </row>
    <row r="314" spans="1:13" s="248" customFormat="1" x14ac:dyDescent="0.25">
      <c r="A314" s="264">
        <v>45059</v>
      </c>
      <c r="B314" s="433">
        <v>45056</v>
      </c>
      <c r="C314" s="328" t="s">
        <v>4532</v>
      </c>
      <c r="D314" s="263" t="s">
        <v>376</v>
      </c>
      <c r="E314" s="265" t="s">
        <v>377</v>
      </c>
      <c r="F314" s="262" t="s">
        <v>4316</v>
      </c>
      <c r="G314" s="247" t="s">
        <v>4460</v>
      </c>
      <c r="H314" s="316">
        <v>45665999.999400005</v>
      </c>
      <c r="I314" s="317">
        <v>7763219.9998980016</v>
      </c>
      <c r="J314" s="527">
        <v>34146648</v>
      </c>
      <c r="K314" s="527">
        <v>3756131</v>
      </c>
      <c r="L314" s="336">
        <f t="shared" si="80"/>
        <v>37902779</v>
      </c>
      <c r="M314" s="316">
        <f t="shared" si="81"/>
        <v>37902779.999502003</v>
      </c>
    </row>
    <row r="315" spans="1:13" s="248" customFormat="1" x14ac:dyDescent="0.25">
      <c r="A315" s="264">
        <v>45063</v>
      </c>
      <c r="B315" s="433">
        <v>45057</v>
      </c>
      <c r="C315" s="328" t="s">
        <v>4464</v>
      </c>
      <c r="D315" s="263" t="s">
        <v>376</v>
      </c>
      <c r="E315" s="265" t="s">
        <v>377</v>
      </c>
      <c r="F315" s="262" t="s">
        <v>4316</v>
      </c>
      <c r="G315" s="247" t="s">
        <v>4491</v>
      </c>
      <c r="H315" s="316">
        <v>57340800</v>
      </c>
      <c r="I315" s="317">
        <v>9747936</v>
      </c>
      <c r="J315" s="527">
        <v>42876454</v>
      </c>
      <c r="K315" s="527">
        <v>4716409</v>
      </c>
      <c r="L315" s="336">
        <f t="shared" ref="L315:L326" si="82">SUM(J315:K315)</f>
        <v>47592863</v>
      </c>
      <c r="M315" s="316">
        <f t="shared" si="81"/>
        <v>47592864</v>
      </c>
    </row>
    <row r="316" spans="1:13" s="248" customFormat="1" x14ac:dyDescent="0.25">
      <c r="A316" s="264">
        <v>45063</v>
      </c>
      <c r="B316" s="433">
        <v>45057</v>
      </c>
      <c r="C316" s="328" t="s">
        <v>4465</v>
      </c>
      <c r="D316" s="263" t="s">
        <v>376</v>
      </c>
      <c r="E316" s="265" t="s">
        <v>377</v>
      </c>
      <c r="F316" s="262" t="s">
        <v>4316</v>
      </c>
      <c r="G316" s="247" t="s">
        <v>4492</v>
      </c>
      <c r="H316" s="316">
        <v>29714000</v>
      </c>
      <c r="I316" s="317">
        <v>5051380</v>
      </c>
      <c r="J316" s="527">
        <v>22218576</v>
      </c>
      <c r="K316" s="527">
        <v>2444043</v>
      </c>
      <c r="L316" s="336">
        <f t="shared" si="82"/>
        <v>24662619</v>
      </c>
      <c r="M316" s="316">
        <f t="shared" si="81"/>
        <v>24662620</v>
      </c>
    </row>
    <row r="317" spans="1:13" s="248" customFormat="1" x14ac:dyDescent="0.25">
      <c r="A317" s="264">
        <v>45063</v>
      </c>
      <c r="B317" s="433">
        <v>45057</v>
      </c>
      <c r="C317" s="328" t="s">
        <v>4466</v>
      </c>
      <c r="D317" s="263" t="s">
        <v>376</v>
      </c>
      <c r="E317" s="265" t="s">
        <v>377</v>
      </c>
      <c r="F317" s="262" t="s">
        <v>4316</v>
      </c>
      <c r="G317" s="247" t="s">
        <v>4493</v>
      </c>
      <c r="H317" s="316">
        <v>24004600</v>
      </c>
      <c r="I317" s="317">
        <v>4080782</v>
      </c>
      <c r="J317" s="527">
        <v>17949385</v>
      </c>
      <c r="K317" s="527">
        <v>1974432</v>
      </c>
      <c r="L317" s="336">
        <f t="shared" si="82"/>
        <v>19923817</v>
      </c>
      <c r="M317" s="316">
        <f t="shared" si="81"/>
        <v>19923818</v>
      </c>
    </row>
    <row r="318" spans="1:13" s="248" customFormat="1" x14ac:dyDescent="0.25">
      <c r="A318" s="264">
        <v>45063</v>
      </c>
      <c r="B318" s="433">
        <v>45058</v>
      </c>
      <c r="C318" s="328" t="s">
        <v>4467</v>
      </c>
      <c r="D318" s="263" t="s">
        <v>376</v>
      </c>
      <c r="E318" s="265" t="s">
        <v>377</v>
      </c>
      <c r="F318" s="262" t="s">
        <v>4316</v>
      </c>
      <c r="G318" s="247" t="s">
        <v>4494</v>
      </c>
      <c r="H318" s="316">
        <v>35891600</v>
      </c>
      <c r="I318" s="317">
        <v>6101572</v>
      </c>
      <c r="J318" s="527">
        <v>26837863</v>
      </c>
      <c r="K318" s="527">
        <v>2952164</v>
      </c>
      <c r="L318" s="336">
        <f t="shared" si="82"/>
        <v>29790027</v>
      </c>
      <c r="M318" s="316">
        <f t="shared" si="81"/>
        <v>29790028</v>
      </c>
    </row>
    <row r="319" spans="1:13" s="248" customFormat="1" x14ac:dyDescent="0.25">
      <c r="A319" s="264">
        <v>45063</v>
      </c>
      <c r="B319" s="433">
        <v>45058</v>
      </c>
      <c r="C319" s="328" t="s">
        <v>4468</v>
      </c>
      <c r="D319" s="263" t="s">
        <v>376</v>
      </c>
      <c r="E319" s="265" t="s">
        <v>377</v>
      </c>
      <c r="F319" s="262" t="s">
        <v>4316</v>
      </c>
      <c r="G319" s="247" t="s">
        <v>4495</v>
      </c>
      <c r="H319" s="316">
        <v>74492400</v>
      </c>
      <c r="I319" s="317">
        <v>12663708</v>
      </c>
      <c r="J319" s="527">
        <v>55701524</v>
      </c>
      <c r="K319" s="527">
        <v>6127167</v>
      </c>
      <c r="L319" s="336">
        <f t="shared" si="82"/>
        <v>61828691</v>
      </c>
      <c r="M319" s="316">
        <f t="shared" si="81"/>
        <v>61828692</v>
      </c>
    </row>
    <row r="320" spans="1:13" s="248" customFormat="1" x14ac:dyDescent="0.25">
      <c r="A320" s="264">
        <v>45063</v>
      </c>
      <c r="B320" s="433">
        <v>45059</v>
      </c>
      <c r="C320" s="328" t="s">
        <v>4469</v>
      </c>
      <c r="D320" s="263" t="s">
        <v>376</v>
      </c>
      <c r="E320" s="265" t="s">
        <v>377</v>
      </c>
      <c r="F320" s="262" t="s">
        <v>4316</v>
      </c>
      <c r="G320" s="247" t="s">
        <v>4496</v>
      </c>
      <c r="H320" s="316">
        <v>38135600</v>
      </c>
      <c r="I320" s="317">
        <v>6483052</v>
      </c>
      <c r="J320" s="527">
        <v>28515809</v>
      </c>
      <c r="K320" s="527">
        <v>3136738</v>
      </c>
      <c r="L320" s="336">
        <f t="shared" si="82"/>
        <v>31652547</v>
      </c>
      <c r="M320" s="316">
        <f t="shared" si="81"/>
        <v>31652548</v>
      </c>
    </row>
    <row r="321" spans="1:13" s="248" customFormat="1" x14ac:dyDescent="0.25">
      <c r="A321" s="264">
        <v>45063</v>
      </c>
      <c r="B321" s="433">
        <v>45059</v>
      </c>
      <c r="C321" s="328" t="s">
        <v>4470</v>
      </c>
      <c r="D321" s="263" t="s">
        <v>376</v>
      </c>
      <c r="E321" s="265" t="s">
        <v>377</v>
      </c>
      <c r="F321" s="262" t="s">
        <v>4316</v>
      </c>
      <c r="G321" s="247" t="s">
        <v>4497</v>
      </c>
      <c r="H321" s="316">
        <v>65132000</v>
      </c>
      <c r="I321" s="317">
        <v>11072440.000000002</v>
      </c>
      <c r="J321" s="527">
        <v>48702306</v>
      </c>
      <c r="K321" s="527">
        <v>5357253</v>
      </c>
      <c r="L321" s="336">
        <f t="shared" si="82"/>
        <v>54059559</v>
      </c>
      <c r="M321" s="316">
        <f t="shared" si="81"/>
        <v>54059560</v>
      </c>
    </row>
    <row r="322" spans="1:13" s="248" customFormat="1" x14ac:dyDescent="0.25">
      <c r="A322" s="264">
        <v>45066</v>
      </c>
      <c r="B322" s="433">
        <v>45062</v>
      </c>
      <c r="C322" s="328" t="s">
        <v>4471</v>
      </c>
      <c r="D322" s="263" t="s">
        <v>376</v>
      </c>
      <c r="E322" s="265" t="s">
        <v>377</v>
      </c>
      <c r="F322" s="262" t="s">
        <v>4316</v>
      </c>
      <c r="G322" s="247" t="s">
        <v>4498</v>
      </c>
      <c r="H322" s="316">
        <v>20096400</v>
      </c>
      <c r="I322" s="317">
        <v>3416388</v>
      </c>
      <c r="J322" s="527">
        <v>15027037</v>
      </c>
      <c r="K322" s="527">
        <v>1652974</v>
      </c>
      <c r="L322" s="336">
        <f t="shared" si="82"/>
        <v>16680011</v>
      </c>
      <c r="M322" s="316">
        <f t="shared" si="81"/>
        <v>16680012</v>
      </c>
    </row>
    <row r="323" spans="1:13" s="248" customFormat="1" x14ac:dyDescent="0.25">
      <c r="A323" s="264">
        <v>45069</v>
      </c>
      <c r="B323" s="433">
        <v>45063</v>
      </c>
      <c r="C323" s="328" t="s">
        <v>4472</v>
      </c>
      <c r="D323" s="263" t="s">
        <v>376</v>
      </c>
      <c r="E323" s="265" t="s">
        <v>377</v>
      </c>
      <c r="F323" s="262" t="s">
        <v>4316</v>
      </c>
      <c r="G323" s="247" t="s">
        <v>4499</v>
      </c>
      <c r="H323" s="316">
        <v>34633200</v>
      </c>
      <c r="I323" s="317">
        <v>5887644</v>
      </c>
      <c r="J323" s="527">
        <v>25896897</v>
      </c>
      <c r="K323" s="527">
        <v>2848658</v>
      </c>
      <c r="L323" s="336">
        <f t="shared" si="82"/>
        <v>28745555</v>
      </c>
      <c r="M323" s="316">
        <f t="shared" si="81"/>
        <v>28745556</v>
      </c>
    </row>
    <row r="324" spans="1:13" s="248" customFormat="1" x14ac:dyDescent="0.25">
      <c r="A324" s="264">
        <v>45069</v>
      </c>
      <c r="B324" s="433">
        <v>45065</v>
      </c>
      <c r="C324" s="328" t="s">
        <v>4473</v>
      </c>
      <c r="D324" s="263" t="s">
        <v>376</v>
      </c>
      <c r="E324" s="265" t="s">
        <v>377</v>
      </c>
      <c r="F324" s="262" t="s">
        <v>4316</v>
      </c>
      <c r="G324" s="247" t="s">
        <v>4500</v>
      </c>
      <c r="H324" s="316">
        <v>12500000</v>
      </c>
      <c r="I324" s="317">
        <v>2125000</v>
      </c>
      <c r="J324" s="527">
        <v>9346846</v>
      </c>
      <c r="K324" s="527">
        <v>1028153</v>
      </c>
      <c r="L324" s="336">
        <f t="shared" si="82"/>
        <v>10374999</v>
      </c>
      <c r="M324" s="316">
        <f t="shared" si="81"/>
        <v>10375000</v>
      </c>
    </row>
    <row r="325" spans="1:13" s="248" customFormat="1" x14ac:dyDescent="0.25">
      <c r="A325" s="264">
        <v>45069</v>
      </c>
      <c r="B325" s="433">
        <v>45065</v>
      </c>
      <c r="C325" s="328" t="s">
        <v>4474</v>
      </c>
      <c r="D325" s="263" t="s">
        <v>376</v>
      </c>
      <c r="E325" s="265" t="s">
        <v>377</v>
      </c>
      <c r="F325" s="262" t="s">
        <v>4316</v>
      </c>
      <c r="G325" s="247" t="s">
        <v>4501</v>
      </c>
      <c r="H325" s="316">
        <v>6739200</v>
      </c>
      <c r="I325" s="317">
        <v>1145664</v>
      </c>
      <c r="J325" s="527">
        <v>5039221</v>
      </c>
      <c r="K325" s="527">
        <v>554314</v>
      </c>
      <c r="L325" s="336">
        <f t="shared" si="82"/>
        <v>5593535</v>
      </c>
      <c r="M325" s="316">
        <f t="shared" si="81"/>
        <v>5593536</v>
      </c>
    </row>
    <row r="326" spans="1:13" s="248" customFormat="1" x14ac:dyDescent="0.25">
      <c r="A326" s="264">
        <v>45069</v>
      </c>
      <c r="B326" s="433">
        <v>45066</v>
      </c>
      <c r="C326" s="328" t="s">
        <v>4475</v>
      </c>
      <c r="D326" s="263" t="s">
        <v>376</v>
      </c>
      <c r="E326" s="265" t="s">
        <v>377</v>
      </c>
      <c r="F326" s="262" t="s">
        <v>4316</v>
      </c>
      <c r="G326" s="247" t="s">
        <v>4502</v>
      </c>
      <c r="H326" s="316">
        <v>19652400</v>
      </c>
      <c r="I326" s="317">
        <v>3340908</v>
      </c>
      <c r="J326" s="527">
        <v>14695037</v>
      </c>
      <c r="K326" s="527">
        <v>1616454</v>
      </c>
      <c r="L326" s="336">
        <f t="shared" si="82"/>
        <v>16311491</v>
      </c>
      <c r="M326" s="316">
        <f t="shared" si="81"/>
        <v>16311492</v>
      </c>
    </row>
    <row r="327" spans="1:13" s="248" customFormat="1" x14ac:dyDescent="0.25">
      <c r="A327" s="264">
        <v>45070</v>
      </c>
      <c r="B327" s="433">
        <v>45068</v>
      </c>
      <c r="C327" s="328" t="s">
        <v>4486</v>
      </c>
      <c r="D327" s="263" t="s">
        <v>376</v>
      </c>
      <c r="E327" s="265" t="s">
        <v>377</v>
      </c>
      <c r="F327" s="262" t="s">
        <v>4316</v>
      </c>
      <c r="G327" s="247" t="s">
        <v>4503</v>
      </c>
      <c r="H327" s="316">
        <v>8870400</v>
      </c>
      <c r="I327" s="317">
        <v>1507968.0000000002</v>
      </c>
      <c r="J327" s="527">
        <v>6632821</v>
      </c>
      <c r="K327" s="527">
        <v>729610</v>
      </c>
      <c r="L327" s="336">
        <f t="shared" ref="L327" si="83">SUM(J327:K327)</f>
        <v>7362431</v>
      </c>
      <c r="M327" s="316">
        <f t="shared" ref="M327:M329" si="84">H327-I327</f>
        <v>7362432</v>
      </c>
    </row>
    <row r="328" spans="1:13" s="248" customFormat="1" x14ac:dyDescent="0.25">
      <c r="A328" s="264">
        <v>45072</v>
      </c>
      <c r="B328" s="433">
        <v>45069</v>
      </c>
      <c r="C328" s="328" t="s">
        <v>4506</v>
      </c>
      <c r="D328" s="263" t="s">
        <v>376</v>
      </c>
      <c r="E328" s="265" t="s">
        <v>377</v>
      </c>
      <c r="F328" s="262" t="s">
        <v>4316</v>
      </c>
      <c r="G328" s="247" t="s">
        <v>4504</v>
      </c>
      <c r="H328" s="316">
        <v>30230400</v>
      </c>
      <c r="I328" s="317">
        <v>5139168</v>
      </c>
      <c r="J328" s="527">
        <v>22604713</v>
      </c>
      <c r="K328" s="527">
        <v>2486518</v>
      </c>
      <c r="L328" s="336">
        <f t="shared" ref="L328:L329" si="85">SUM(J328:K328)</f>
        <v>25091231</v>
      </c>
      <c r="M328" s="316">
        <f t="shared" si="84"/>
        <v>25091232</v>
      </c>
    </row>
    <row r="329" spans="1:13" s="248" customFormat="1" x14ac:dyDescent="0.25">
      <c r="A329" s="264">
        <v>45072</v>
      </c>
      <c r="B329" s="433">
        <v>45070</v>
      </c>
      <c r="C329" s="328" t="s">
        <v>4507</v>
      </c>
      <c r="D329" s="263" t="s">
        <v>376</v>
      </c>
      <c r="E329" s="265" t="s">
        <v>377</v>
      </c>
      <c r="F329" s="262" t="s">
        <v>4316</v>
      </c>
      <c r="G329" s="247" t="s">
        <v>4505</v>
      </c>
      <c r="H329" s="316">
        <v>9066000</v>
      </c>
      <c r="I329" s="317">
        <v>1541220</v>
      </c>
      <c r="J329" s="527">
        <v>6779081</v>
      </c>
      <c r="K329" s="527">
        <v>745698</v>
      </c>
      <c r="L329" s="336">
        <f t="shared" si="85"/>
        <v>7524779</v>
      </c>
      <c r="M329" s="316">
        <f t="shared" si="84"/>
        <v>7524780</v>
      </c>
    </row>
    <row r="330" spans="1:13" s="248" customFormat="1" x14ac:dyDescent="0.25">
      <c r="A330" s="264">
        <v>45073</v>
      </c>
      <c r="B330" s="433">
        <v>45071</v>
      </c>
      <c r="C330" s="328" t="s">
        <v>4523</v>
      </c>
      <c r="D330" s="263" t="s">
        <v>376</v>
      </c>
      <c r="E330" s="265" t="s">
        <v>377</v>
      </c>
      <c r="F330" s="262" t="s">
        <v>4316</v>
      </c>
      <c r="G330" s="247" t="s">
        <v>4541</v>
      </c>
      <c r="H330" s="316">
        <v>33262200</v>
      </c>
      <c r="I330" s="317">
        <v>5654574</v>
      </c>
      <c r="J330" s="527">
        <v>24871735</v>
      </c>
      <c r="K330" s="527">
        <v>2735890</v>
      </c>
      <c r="L330" s="336">
        <f t="shared" ref="L330:L332" si="86">SUM(J330:K330)</f>
        <v>27607625</v>
      </c>
      <c r="M330" s="316">
        <f t="shared" ref="M330:M332" si="87">H330-I330</f>
        <v>27607626</v>
      </c>
    </row>
    <row r="331" spans="1:13" s="248" customFormat="1" x14ac:dyDescent="0.25">
      <c r="A331" s="264">
        <v>45075</v>
      </c>
      <c r="B331" s="433">
        <v>45072</v>
      </c>
      <c r="C331" s="328" t="s">
        <v>4524</v>
      </c>
      <c r="D331" s="263" t="s">
        <v>376</v>
      </c>
      <c r="E331" s="265" t="s">
        <v>377</v>
      </c>
      <c r="F331" s="262" t="s">
        <v>4316</v>
      </c>
      <c r="G331" s="247" t="s">
        <v>4542</v>
      </c>
      <c r="H331" s="316">
        <v>20947200</v>
      </c>
      <c r="I331" s="317">
        <v>3561024</v>
      </c>
      <c r="J331" s="527">
        <v>15663221</v>
      </c>
      <c r="K331" s="527">
        <v>1722954</v>
      </c>
      <c r="L331" s="336">
        <f t="shared" si="86"/>
        <v>17386175</v>
      </c>
      <c r="M331" s="316">
        <f t="shared" si="87"/>
        <v>17386176</v>
      </c>
    </row>
    <row r="332" spans="1:13" s="248" customFormat="1" x14ac:dyDescent="0.25">
      <c r="A332" s="264">
        <v>45075</v>
      </c>
      <c r="B332" s="433">
        <v>45072</v>
      </c>
      <c r="C332" s="328" t="s">
        <v>4525</v>
      </c>
      <c r="D332" s="263" t="s">
        <v>376</v>
      </c>
      <c r="E332" s="265" t="s">
        <v>377</v>
      </c>
      <c r="F332" s="262" t="s">
        <v>4316</v>
      </c>
      <c r="G332" s="247" t="s">
        <v>4543</v>
      </c>
      <c r="H332" s="316">
        <v>65734800</v>
      </c>
      <c r="I332" s="317">
        <v>11174916</v>
      </c>
      <c r="J332" s="527">
        <v>49153048</v>
      </c>
      <c r="K332" s="527">
        <v>5406835</v>
      </c>
      <c r="L332" s="336">
        <f t="shared" si="86"/>
        <v>54559883</v>
      </c>
      <c r="M332" s="316">
        <f t="shared" si="87"/>
        <v>54559884</v>
      </c>
    </row>
    <row r="333" spans="1:13" s="248" customFormat="1" x14ac:dyDescent="0.25">
      <c r="A333" s="264">
        <v>45077</v>
      </c>
      <c r="B333" s="433">
        <v>45075</v>
      </c>
      <c r="C333" s="328" t="s">
        <v>4528</v>
      </c>
      <c r="D333" s="263" t="s">
        <v>376</v>
      </c>
      <c r="E333" s="265" t="s">
        <v>377</v>
      </c>
      <c r="F333" s="262" t="s">
        <v>4316</v>
      </c>
      <c r="G333" s="247" t="s">
        <v>4544</v>
      </c>
      <c r="H333" s="316">
        <v>11211600</v>
      </c>
      <c r="I333" s="317">
        <v>1905972</v>
      </c>
      <c r="J333" s="527">
        <v>8383448</v>
      </c>
      <c r="K333" s="527">
        <v>922179</v>
      </c>
      <c r="L333" s="336">
        <f t="shared" ref="L333" si="88">SUM(J333:K333)</f>
        <v>9305627</v>
      </c>
      <c r="M333" s="316">
        <f t="shared" ref="M333" si="89">H333-I333</f>
        <v>9305628</v>
      </c>
    </row>
    <row r="334" spans="1:13" s="248" customFormat="1" x14ac:dyDescent="0.25">
      <c r="A334" s="264">
        <v>45073</v>
      </c>
      <c r="B334" s="433">
        <v>45070</v>
      </c>
      <c r="C334" s="328" t="s">
        <v>4526</v>
      </c>
      <c r="D334" s="263" t="s">
        <v>390</v>
      </c>
      <c r="E334" s="262" t="s">
        <v>391</v>
      </c>
      <c r="F334" s="265" t="s">
        <v>394</v>
      </c>
      <c r="G334" s="247" t="s">
        <v>4789</v>
      </c>
      <c r="H334" s="316">
        <v>70199999.996400014</v>
      </c>
      <c r="I334" s="317">
        <v>356.76</v>
      </c>
      <c r="J334" s="527">
        <v>63243243</v>
      </c>
      <c r="K334" s="527">
        <v>6956757</v>
      </c>
      <c r="L334" s="336">
        <f t="shared" ref="L334" si="90">SUM(J334:K334)</f>
        <v>70200000</v>
      </c>
      <c r="M334" s="316">
        <f t="shared" ref="M334" si="91">H334-I334</f>
        <v>70199643.236400008</v>
      </c>
    </row>
    <row r="335" spans="1:13" s="248" customFormat="1" x14ac:dyDescent="0.25">
      <c r="A335" s="264">
        <v>45073</v>
      </c>
      <c r="B335" s="433">
        <v>45071</v>
      </c>
      <c r="C335" s="328" t="s">
        <v>4527</v>
      </c>
      <c r="D335" s="263" t="s">
        <v>390</v>
      </c>
      <c r="E335" s="262" t="s">
        <v>391</v>
      </c>
      <c r="F335" s="265" t="s">
        <v>394</v>
      </c>
      <c r="G335" s="247" t="s">
        <v>4790</v>
      </c>
      <c r="H335" s="316">
        <v>7000004.1000000006</v>
      </c>
      <c r="I335" s="317">
        <v>0</v>
      </c>
      <c r="J335" s="527">
        <v>6306306</v>
      </c>
      <c r="K335" s="527">
        <v>693694</v>
      </c>
      <c r="L335" s="336">
        <f t="shared" ref="L335" si="92">SUM(J335:K335)</f>
        <v>7000000</v>
      </c>
      <c r="M335" s="316">
        <f t="shared" ref="M335" si="93">H335-I335</f>
        <v>7000004.1000000006</v>
      </c>
    </row>
    <row r="336" spans="1:13" s="248" customFormat="1" x14ac:dyDescent="0.25">
      <c r="A336" s="264">
        <v>45066</v>
      </c>
      <c r="B336" s="433">
        <v>45062</v>
      </c>
      <c r="C336" s="328" t="s">
        <v>4485</v>
      </c>
      <c r="D336" s="263" t="s">
        <v>303</v>
      </c>
      <c r="E336" s="265" t="s">
        <v>373</v>
      </c>
      <c r="F336" s="262" t="s">
        <v>4317</v>
      </c>
      <c r="G336" s="247" t="s">
        <v>4760</v>
      </c>
      <c r="H336" s="316">
        <v>42000000</v>
      </c>
      <c r="I336" s="317">
        <v>4200000</v>
      </c>
      <c r="J336" s="527">
        <v>34054080</v>
      </c>
      <c r="K336" s="527">
        <v>3745948</v>
      </c>
      <c r="L336" s="336">
        <f t="shared" ref="L336" si="94">SUM(J336:K336)</f>
        <v>37800028</v>
      </c>
      <c r="M336" s="316">
        <f t="shared" ref="M336" si="95">H336-I336</f>
        <v>37800000</v>
      </c>
    </row>
    <row r="337" spans="1:13" s="248" customFormat="1" x14ac:dyDescent="0.25">
      <c r="A337" s="264">
        <v>45082</v>
      </c>
      <c r="B337" s="433">
        <v>45077</v>
      </c>
      <c r="C337" s="328" t="s">
        <v>4619</v>
      </c>
      <c r="D337" s="263" t="s">
        <v>303</v>
      </c>
      <c r="E337" s="265" t="s">
        <v>373</v>
      </c>
      <c r="F337" s="262" t="s">
        <v>4317</v>
      </c>
      <c r="G337" s="247" t="s">
        <v>4761</v>
      </c>
      <c r="H337" s="316">
        <v>42000000</v>
      </c>
      <c r="I337" s="317">
        <v>4200000</v>
      </c>
      <c r="J337" s="527">
        <v>34054080</v>
      </c>
      <c r="K337" s="527">
        <v>3745948</v>
      </c>
      <c r="L337" s="336">
        <f t="shared" ref="L337" si="96">SUM(J337:K337)</f>
        <v>37800028</v>
      </c>
      <c r="M337" s="316">
        <f t="shared" ref="M337" si="97">H337-I337</f>
        <v>37800000</v>
      </c>
    </row>
    <row r="338" spans="1:13" s="248" customFormat="1" x14ac:dyDescent="0.25">
      <c r="A338" s="264">
        <v>45079</v>
      </c>
      <c r="B338" s="433">
        <v>45077</v>
      </c>
      <c r="C338" s="328" t="s">
        <v>4534</v>
      </c>
      <c r="D338" s="263" t="s">
        <v>298</v>
      </c>
      <c r="E338" s="265" t="s">
        <v>374</v>
      </c>
      <c r="F338" s="262" t="s">
        <v>375</v>
      </c>
      <c r="G338" s="247" t="s">
        <v>4621</v>
      </c>
      <c r="H338" s="316">
        <v>30990000</v>
      </c>
      <c r="I338" s="317">
        <v>0</v>
      </c>
      <c r="J338" s="527">
        <v>27918408</v>
      </c>
      <c r="K338" s="527">
        <v>3071024</v>
      </c>
      <c r="L338" s="336">
        <f>SUM(J338:K338)</f>
        <v>30989432</v>
      </c>
      <c r="M338" s="316">
        <f>H338-I338</f>
        <v>30990000</v>
      </c>
    </row>
    <row r="339" spans="1:13" s="248" customFormat="1" x14ac:dyDescent="0.25">
      <c r="A339" s="264">
        <v>45079</v>
      </c>
      <c r="B339" s="433">
        <v>45077</v>
      </c>
      <c r="C339" s="328" t="s">
        <v>4533</v>
      </c>
      <c r="D339" s="263" t="s">
        <v>298</v>
      </c>
      <c r="E339" s="265" t="s">
        <v>374</v>
      </c>
      <c r="F339" s="262" t="s">
        <v>375</v>
      </c>
      <c r="G339" s="247" t="s">
        <v>4622</v>
      </c>
      <c r="H339" s="316">
        <v>21024000</v>
      </c>
      <c r="I339" s="317">
        <v>0</v>
      </c>
      <c r="J339" s="527">
        <v>18940032</v>
      </c>
      <c r="K339" s="527">
        <v>2083403</v>
      </c>
      <c r="L339" s="336">
        <f t="shared" ref="L339" si="98">SUM(J339:K339)</f>
        <v>21023435</v>
      </c>
      <c r="M339" s="316">
        <f t="shared" ref="M339" si="99">H339-I339</f>
        <v>21024000</v>
      </c>
    </row>
    <row r="340" spans="1:13" ht="18" x14ac:dyDescent="0.25">
      <c r="A340" s="435" t="s">
        <v>38</v>
      </c>
      <c r="B340" s="434"/>
      <c r="C340" s="437"/>
      <c r="D340" s="436"/>
      <c r="E340" s="441"/>
      <c r="F340" s="441"/>
      <c r="G340" s="438"/>
      <c r="H340" s="336">
        <f>SUM(H254:H339)</f>
        <v>2638584346.3469996</v>
      </c>
      <c r="I340" s="335"/>
      <c r="J340" s="528">
        <f>SUM(J254:J339)</f>
        <v>2152203297</v>
      </c>
      <c r="K340" s="528">
        <f>SUM(K254:K339)</f>
        <v>236742327</v>
      </c>
      <c r="L340" s="337">
        <f>SUM(L254:L339)</f>
        <v>2388945624</v>
      </c>
      <c r="M340" s="337">
        <f>SUM(M254:M339)</f>
        <v>2389337351.5870104</v>
      </c>
    </row>
    <row r="341" spans="1:13" ht="18" x14ac:dyDescent="0.25">
      <c r="A341" s="432" t="s">
        <v>103</v>
      </c>
      <c r="B341" s="432"/>
      <c r="C341" s="344"/>
      <c r="D341" s="343"/>
      <c r="E341" s="440"/>
      <c r="F341" s="440"/>
      <c r="G341" s="343"/>
      <c r="H341" s="345"/>
      <c r="I341" s="345"/>
      <c r="J341" s="526"/>
      <c r="K341" s="526"/>
      <c r="L341" s="612"/>
      <c r="M341" s="346"/>
    </row>
    <row r="342" spans="1:13" s="248" customFormat="1" x14ac:dyDescent="0.25">
      <c r="A342" s="264">
        <v>45100</v>
      </c>
      <c r="B342" s="433">
        <v>45099</v>
      </c>
      <c r="C342" s="328" t="s">
        <v>4994</v>
      </c>
      <c r="D342" s="263" t="s">
        <v>378</v>
      </c>
      <c r="E342" s="265" t="s">
        <v>379</v>
      </c>
      <c r="F342" s="262" t="s">
        <v>380</v>
      </c>
      <c r="G342" s="247" t="s">
        <v>5407</v>
      </c>
      <c r="H342" s="316">
        <v>13597500</v>
      </c>
      <c r="I342" s="317">
        <v>679875</v>
      </c>
      <c r="J342" s="527">
        <v>11637500</v>
      </c>
      <c r="K342" s="527">
        <v>1280125</v>
      </c>
      <c r="L342" s="336">
        <f t="shared" ref="L342" si="100">SUM(J342:K342)</f>
        <v>12917625</v>
      </c>
      <c r="M342" s="316">
        <f t="shared" ref="M342" si="101">H342-I342</f>
        <v>12917625</v>
      </c>
    </row>
    <row r="343" spans="1:13" s="248" customFormat="1" x14ac:dyDescent="0.25">
      <c r="A343" s="264">
        <v>45110</v>
      </c>
      <c r="B343" s="433">
        <v>45105</v>
      </c>
      <c r="C343" s="328" t="s">
        <v>5361</v>
      </c>
      <c r="D343" s="263" t="s">
        <v>378</v>
      </c>
      <c r="E343" s="265" t="s">
        <v>379</v>
      </c>
      <c r="F343" s="262" t="s">
        <v>380</v>
      </c>
      <c r="G343" s="247" t="s">
        <v>5408</v>
      </c>
      <c r="H343" s="316">
        <v>70360000</v>
      </c>
      <c r="I343" s="317">
        <v>4925200</v>
      </c>
      <c r="J343" s="527">
        <v>58950270</v>
      </c>
      <c r="K343" s="527">
        <v>6484530</v>
      </c>
      <c r="L343" s="336">
        <f t="shared" ref="L343:L345" si="102">SUM(J343:K343)</f>
        <v>65434800</v>
      </c>
      <c r="M343" s="316">
        <f t="shared" ref="M343:M345" si="103">H343-I343</f>
        <v>65434800</v>
      </c>
    </row>
    <row r="344" spans="1:13" s="248" customFormat="1" x14ac:dyDescent="0.25">
      <c r="A344" s="264">
        <v>45110</v>
      </c>
      <c r="B344" s="433">
        <v>45105</v>
      </c>
      <c r="C344" s="328" t="s">
        <v>5362</v>
      </c>
      <c r="D344" s="263" t="s">
        <v>378</v>
      </c>
      <c r="E344" s="265" t="s">
        <v>379</v>
      </c>
      <c r="F344" s="262" t="s">
        <v>380</v>
      </c>
      <c r="G344" s="247" t="s">
        <v>5409</v>
      </c>
      <c r="H344" s="316">
        <v>62628000</v>
      </c>
      <c r="I344" s="317">
        <v>4383960</v>
      </c>
      <c r="J344" s="527">
        <v>52472108</v>
      </c>
      <c r="K344" s="527">
        <v>5771932</v>
      </c>
      <c r="L344" s="336">
        <f t="shared" si="102"/>
        <v>58244040</v>
      </c>
      <c r="M344" s="316">
        <f t="shared" si="103"/>
        <v>58244040</v>
      </c>
    </row>
    <row r="345" spans="1:13" s="248" customFormat="1" x14ac:dyDescent="0.25">
      <c r="A345" s="264">
        <v>45110</v>
      </c>
      <c r="B345" s="433">
        <v>45105</v>
      </c>
      <c r="C345" s="328" t="s">
        <v>5363</v>
      </c>
      <c r="D345" s="263" t="s">
        <v>378</v>
      </c>
      <c r="E345" s="265" t="s">
        <v>379</v>
      </c>
      <c r="F345" s="262" t="s">
        <v>380</v>
      </c>
      <c r="G345" s="247" t="s">
        <v>5410</v>
      </c>
      <c r="H345" s="316">
        <v>8056200</v>
      </c>
      <c r="I345" s="317">
        <v>0</v>
      </c>
      <c r="J345" s="527">
        <v>7257838</v>
      </c>
      <c r="K345" s="527">
        <v>798362</v>
      </c>
      <c r="L345" s="336">
        <f t="shared" si="102"/>
        <v>8056200</v>
      </c>
      <c r="M345" s="316">
        <f t="shared" si="103"/>
        <v>8056200</v>
      </c>
    </row>
    <row r="346" spans="1:13" s="248" customFormat="1" x14ac:dyDescent="0.25">
      <c r="A346" s="264">
        <v>45084</v>
      </c>
      <c r="B346" s="433">
        <v>45079</v>
      </c>
      <c r="C346" s="328" t="s">
        <v>4818</v>
      </c>
      <c r="D346" s="263" t="s">
        <v>297</v>
      </c>
      <c r="E346" s="265" t="s">
        <v>369</v>
      </c>
      <c r="F346" s="262" t="s">
        <v>395</v>
      </c>
      <c r="G346" s="247" t="s">
        <v>5024</v>
      </c>
      <c r="H346" s="316">
        <v>49402185</v>
      </c>
      <c r="I346" s="317">
        <v>0</v>
      </c>
      <c r="J346" s="527">
        <v>44506472</v>
      </c>
      <c r="K346" s="527">
        <v>4895712</v>
      </c>
      <c r="L346" s="336">
        <f t="shared" ref="L346:L353" si="104">SUM(J346:K346)</f>
        <v>49402184</v>
      </c>
      <c r="M346" s="316">
        <f t="shared" ref="M346:M353" si="105">H346-I346</f>
        <v>49402185</v>
      </c>
    </row>
    <row r="347" spans="1:13" s="248" customFormat="1" x14ac:dyDescent="0.25">
      <c r="A347" s="264">
        <v>45084</v>
      </c>
      <c r="B347" s="433">
        <v>45079</v>
      </c>
      <c r="C347" s="328" t="s">
        <v>4819</v>
      </c>
      <c r="D347" s="263" t="s">
        <v>297</v>
      </c>
      <c r="E347" s="265" t="s">
        <v>369</v>
      </c>
      <c r="F347" s="262" t="s">
        <v>395</v>
      </c>
      <c r="G347" s="247" t="s">
        <v>5025</v>
      </c>
      <c r="H347" s="316">
        <v>23088135</v>
      </c>
      <c r="I347" s="317">
        <v>0</v>
      </c>
      <c r="J347" s="527">
        <v>20800121</v>
      </c>
      <c r="K347" s="527">
        <v>2288013</v>
      </c>
      <c r="L347" s="336">
        <f t="shared" si="104"/>
        <v>23088134</v>
      </c>
      <c r="M347" s="316">
        <f t="shared" si="105"/>
        <v>23088135</v>
      </c>
    </row>
    <row r="348" spans="1:13" s="248" customFormat="1" x14ac:dyDescent="0.25">
      <c r="A348" s="264">
        <v>45085</v>
      </c>
      <c r="B348" s="433">
        <v>45079</v>
      </c>
      <c r="C348" s="328" t="s">
        <v>4820</v>
      </c>
      <c r="D348" s="263" t="s">
        <v>297</v>
      </c>
      <c r="E348" s="265" t="s">
        <v>369</v>
      </c>
      <c r="F348" s="262" t="s">
        <v>395</v>
      </c>
      <c r="G348" s="247" t="s">
        <v>5026</v>
      </c>
      <c r="H348" s="316">
        <v>52421617.5</v>
      </c>
      <c r="I348" s="317">
        <v>0</v>
      </c>
      <c r="J348" s="527">
        <v>47226682</v>
      </c>
      <c r="K348" s="527">
        <v>5194935</v>
      </c>
      <c r="L348" s="336">
        <f t="shared" si="104"/>
        <v>52421617</v>
      </c>
      <c r="M348" s="316">
        <f t="shared" si="105"/>
        <v>52421617.5</v>
      </c>
    </row>
    <row r="349" spans="1:13" s="248" customFormat="1" x14ac:dyDescent="0.25">
      <c r="A349" s="264">
        <v>45086</v>
      </c>
      <c r="B349" s="433">
        <v>45083</v>
      </c>
      <c r="C349" s="328" t="s">
        <v>4821</v>
      </c>
      <c r="D349" s="263" t="s">
        <v>297</v>
      </c>
      <c r="E349" s="265" t="s">
        <v>369</v>
      </c>
      <c r="F349" s="262" t="s">
        <v>395</v>
      </c>
      <c r="G349" s="247" t="s">
        <v>5027</v>
      </c>
      <c r="H349" s="316">
        <v>27039232.5</v>
      </c>
      <c r="I349" s="317">
        <v>0</v>
      </c>
      <c r="J349" s="527">
        <v>24359668</v>
      </c>
      <c r="K349" s="527">
        <v>2679563</v>
      </c>
      <c r="L349" s="336">
        <f t="shared" si="104"/>
        <v>27039231</v>
      </c>
      <c r="M349" s="316">
        <f t="shared" si="105"/>
        <v>27039232.5</v>
      </c>
    </row>
    <row r="350" spans="1:13" s="248" customFormat="1" x14ac:dyDescent="0.25">
      <c r="A350" s="264">
        <v>45086</v>
      </c>
      <c r="B350" s="433">
        <v>45084</v>
      </c>
      <c r="C350" s="328" t="s">
        <v>4822</v>
      </c>
      <c r="D350" s="263" t="s">
        <v>297</v>
      </c>
      <c r="E350" s="265" t="s">
        <v>369</v>
      </c>
      <c r="F350" s="262" t="s">
        <v>395</v>
      </c>
      <c r="G350" s="247" t="s">
        <v>5028</v>
      </c>
      <c r="H350" s="316">
        <v>12855780</v>
      </c>
      <c r="I350" s="317">
        <v>0</v>
      </c>
      <c r="J350" s="527">
        <v>11581783</v>
      </c>
      <c r="K350" s="527">
        <v>1273996</v>
      </c>
      <c r="L350" s="336">
        <f t="shared" si="104"/>
        <v>12855779</v>
      </c>
      <c r="M350" s="316">
        <f t="shared" si="105"/>
        <v>12855780</v>
      </c>
    </row>
    <row r="351" spans="1:13" s="248" customFormat="1" x14ac:dyDescent="0.25">
      <c r="A351" s="264">
        <v>45092</v>
      </c>
      <c r="B351" s="433">
        <v>45090</v>
      </c>
      <c r="C351" s="328" t="s">
        <v>4823</v>
      </c>
      <c r="D351" s="263" t="s">
        <v>297</v>
      </c>
      <c r="E351" s="265" t="s">
        <v>369</v>
      </c>
      <c r="F351" s="262" t="s">
        <v>395</v>
      </c>
      <c r="G351" s="247" t="s">
        <v>5029</v>
      </c>
      <c r="H351" s="316">
        <v>28829578.75</v>
      </c>
      <c r="I351" s="317">
        <v>0</v>
      </c>
      <c r="J351" s="527">
        <v>25972593</v>
      </c>
      <c r="K351" s="527">
        <v>2856985</v>
      </c>
      <c r="L351" s="336">
        <f t="shared" si="104"/>
        <v>28829578</v>
      </c>
      <c r="M351" s="316">
        <f t="shared" si="105"/>
        <v>28829578.75</v>
      </c>
    </row>
    <row r="352" spans="1:13" s="248" customFormat="1" x14ac:dyDescent="0.25">
      <c r="A352" s="264">
        <v>45092</v>
      </c>
      <c r="B352" s="433">
        <v>45090</v>
      </c>
      <c r="C352" s="328" t="s">
        <v>4824</v>
      </c>
      <c r="D352" s="263" t="s">
        <v>297</v>
      </c>
      <c r="E352" s="265" t="s">
        <v>369</v>
      </c>
      <c r="F352" s="262" t="s">
        <v>395</v>
      </c>
      <c r="G352" s="247" t="s">
        <v>5030</v>
      </c>
      <c r="H352" s="316">
        <v>54591512.5</v>
      </c>
      <c r="I352" s="317">
        <v>0</v>
      </c>
      <c r="J352" s="527">
        <v>49181542</v>
      </c>
      <c r="K352" s="527">
        <v>5409969</v>
      </c>
      <c r="L352" s="336">
        <f t="shared" si="104"/>
        <v>54591511</v>
      </c>
      <c r="M352" s="316">
        <f t="shared" si="105"/>
        <v>54591512.5</v>
      </c>
    </row>
    <row r="353" spans="1:13" s="248" customFormat="1" x14ac:dyDescent="0.25">
      <c r="A353" s="264">
        <v>45092</v>
      </c>
      <c r="B353" s="433">
        <v>45090</v>
      </c>
      <c r="C353" s="328" t="s">
        <v>4825</v>
      </c>
      <c r="D353" s="263" t="s">
        <v>297</v>
      </c>
      <c r="E353" s="265" t="s">
        <v>369</v>
      </c>
      <c r="F353" s="262" t="s">
        <v>395</v>
      </c>
      <c r="G353" s="247" t="s">
        <v>5031</v>
      </c>
      <c r="H353" s="316">
        <v>57954750</v>
      </c>
      <c r="I353" s="317">
        <v>0</v>
      </c>
      <c r="J353" s="527">
        <v>52211486</v>
      </c>
      <c r="K353" s="527">
        <v>5743263</v>
      </c>
      <c r="L353" s="336">
        <f t="shared" si="104"/>
        <v>57954749</v>
      </c>
      <c r="M353" s="316">
        <f t="shared" si="105"/>
        <v>57954750</v>
      </c>
    </row>
    <row r="354" spans="1:13" s="248" customFormat="1" x14ac:dyDescent="0.25">
      <c r="A354" s="264">
        <v>45094</v>
      </c>
      <c r="B354" s="433">
        <v>45091</v>
      </c>
      <c r="C354" s="328" t="s">
        <v>4856</v>
      </c>
      <c r="D354" s="263" t="s">
        <v>297</v>
      </c>
      <c r="E354" s="265" t="s">
        <v>369</v>
      </c>
      <c r="F354" s="262" t="s">
        <v>395</v>
      </c>
      <c r="G354" s="247" t="s">
        <v>5032</v>
      </c>
      <c r="H354" s="316">
        <v>6894720</v>
      </c>
      <c r="I354" s="317">
        <v>0</v>
      </c>
      <c r="J354" s="527">
        <v>6211459</v>
      </c>
      <c r="K354" s="527">
        <v>683260</v>
      </c>
      <c r="L354" s="336">
        <f t="shared" ref="L354:L360" si="106">SUM(J354:K354)</f>
        <v>6894719</v>
      </c>
      <c r="M354" s="316">
        <f t="shared" ref="M354:M360" si="107">H354-I354</f>
        <v>6894720</v>
      </c>
    </row>
    <row r="355" spans="1:13" s="248" customFormat="1" x14ac:dyDescent="0.25">
      <c r="A355" s="264">
        <v>45094</v>
      </c>
      <c r="B355" s="433">
        <v>45091</v>
      </c>
      <c r="C355" s="328" t="s">
        <v>4857</v>
      </c>
      <c r="D355" s="263" t="s">
        <v>297</v>
      </c>
      <c r="E355" s="265" t="s">
        <v>369</v>
      </c>
      <c r="F355" s="262" t="s">
        <v>395</v>
      </c>
      <c r="G355" s="247" t="s">
        <v>5033</v>
      </c>
      <c r="H355" s="316">
        <v>3782520</v>
      </c>
      <c r="I355" s="317">
        <v>0</v>
      </c>
      <c r="J355" s="527">
        <v>3407675</v>
      </c>
      <c r="K355" s="527">
        <v>374844</v>
      </c>
      <c r="L355" s="336">
        <f t="shared" si="106"/>
        <v>3782519</v>
      </c>
      <c r="M355" s="316">
        <f t="shared" si="107"/>
        <v>3782520</v>
      </c>
    </row>
    <row r="356" spans="1:13" s="248" customFormat="1" x14ac:dyDescent="0.25">
      <c r="A356" s="264">
        <v>45096</v>
      </c>
      <c r="B356" s="433">
        <v>45092</v>
      </c>
      <c r="C356" s="328" t="s">
        <v>4858</v>
      </c>
      <c r="D356" s="263" t="s">
        <v>297</v>
      </c>
      <c r="E356" s="265" t="s">
        <v>369</v>
      </c>
      <c r="F356" s="262" t="s">
        <v>395</v>
      </c>
      <c r="G356" s="247" t="s">
        <v>5034</v>
      </c>
      <c r="H356" s="316">
        <v>45681676.25</v>
      </c>
      <c r="I356" s="317">
        <v>0</v>
      </c>
      <c r="J356" s="527">
        <v>41154663</v>
      </c>
      <c r="K356" s="527">
        <v>4527012</v>
      </c>
      <c r="L356" s="336">
        <f t="shared" si="106"/>
        <v>45681675</v>
      </c>
      <c r="M356" s="316">
        <f t="shared" si="107"/>
        <v>45681676.25</v>
      </c>
    </row>
    <row r="357" spans="1:13" s="248" customFormat="1" x14ac:dyDescent="0.25">
      <c r="A357" s="264">
        <v>45096</v>
      </c>
      <c r="B357" s="433">
        <v>45092</v>
      </c>
      <c r="C357" s="328" t="s">
        <v>4859</v>
      </c>
      <c r="D357" s="263" t="s">
        <v>297</v>
      </c>
      <c r="E357" s="265" t="s">
        <v>369</v>
      </c>
      <c r="F357" s="262" t="s">
        <v>395</v>
      </c>
      <c r="G357" s="247" t="s">
        <v>5035</v>
      </c>
      <c r="H357" s="316">
        <v>27242888.75</v>
      </c>
      <c r="I357" s="317">
        <v>0</v>
      </c>
      <c r="J357" s="527">
        <v>24543143</v>
      </c>
      <c r="K357" s="527">
        <v>2699745</v>
      </c>
      <c r="L357" s="336">
        <f t="shared" si="106"/>
        <v>27242888</v>
      </c>
      <c r="M357" s="316">
        <f t="shared" si="107"/>
        <v>27242888.75</v>
      </c>
    </row>
    <row r="358" spans="1:13" s="248" customFormat="1" x14ac:dyDescent="0.25">
      <c r="A358" s="264">
        <v>45096</v>
      </c>
      <c r="B358" s="433">
        <v>45092</v>
      </c>
      <c r="C358" s="328" t="s">
        <v>4860</v>
      </c>
      <c r="D358" s="263" t="s">
        <v>297</v>
      </c>
      <c r="E358" s="265" t="s">
        <v>369</v>
      </c>
      <c r="F358" s="262" t="s">
        <v>395</v>
      </c>
      <c r="G358" s="247" t="s">
        <v>5036</v>
      </c>
      <c r="H358" s="316">
        <v>19295640</v>
      </c>
      <c r="I358" s="317">
        <v>0</v>
      </c>
      <c r="J358" s="527">
        <v>17383459</v>
      </c>
      <c r="K358" s="527">
        <v>1912180</v>
      </c>
      <c r="L358" s="336">
        <f t="shared" si="106"/>
        <v>19295639</v>
      </c>
      <c r="M358" s="316">
        <f t="shared" si="107"/>
        <v>19295640</v>
      </c>
    </row>
    <row r="359" spans="1:13" s="248" customFormat="1" x14ac:dyDescent="0.25">
      <c r="A359" s="264">
        <v>45096</v>
      </c>
      <c r="B359" s="433">
        <v>45092</v>
      </c>
      <c r="C359" s="328" t="s">
        <v>4861</v>
      </c>
      <c r="D359" s="263" t="s">
        <v>297</v>
      </c>
      <c r="E359" s="265" t="s">
        <v>369</v>
      </c>
      <c r="F359" s="262" t="s">
        <v>395</v>
      </c>
      <c r="G359" s="247" t="s">
        <v>5037</v>
      </c>
      <c r="H359" s="316">
        <v>29741460</v>
      </c>
      <c r="I359" s="317">
        <v>0</v>
      </c>
      <c r="J359" s="527">
        <v>26794108</v>
      </c>
      <c r="K359" s="527">
        <v>2947351</v>
      </c>
      <c r="L359" s="336">
        <f t="shared" si="106"/>
        <v>29741459</v>
      </c>
      <c r="M359" s="316">
        <f t="shared" si="107"/>
        <v>29741460</v>
      </c>
    </row>
    <row r="360" spans="1:13" s="248" customFormat="1" x14ac:dyDescent="0.25">
      <c r="A360" s="264">
        <v>45096</v>
      </c>
      <c r="B360" s="433">
        <v>45092</v>
      </c>
      <c r="C360" s="328" t="s">
        <v>4862</v>
      </c>
      <c r="D360" s="263" t="s">
        <v>297</v>
      </c>
      <c r="E360" s="265" t="s">
        <v>369</v>
      </c>
      <c r="F360" s="262" t="s">
        <v>395</v>
      </c>
      <c r="G360" s="247" t="s">
        <v>5038</v>
      </c>
      <c r="H360" s="316">
        <v>13125105</v>
      </c>
      <c r="I360" s="317">
        <v>395010</v>
      </c>
      <c r="J360" s="527">
        <v>11468554</v>
      </c>
      <c r="K360" s="527">
        <v>1261540</v>
      </c>
      <c r="L360" s="336">
        <f t="shared" si="106"/>
        <v>12730094</v>
      </c>
      <c r="M360" s="316">
        <f t="shared" si="107"/>
        <v>12730095</v>
      </c>
    </row>
    <row r="361" spans="1:13" s="248" customFormat="1" x14ac:dyDescent="0.25">
      <c r="A361" s="264">
        <v>45098</v>
      </c>
      <c r="B361" s="433">
        <v>45093</v>
      </c>
      <c r="C361" s="328" t="s">
        <v>4950</v>
      </c>
      <c r="D361" s="263" t="s">
        <v>297</v>
      </c>
      <c r="E361" s="265" t="s">
        <v>369</v>
      </c>
      <c r="F361" s="262" t="s">
        <v>395</v>
      </c>
      <c r="G361" s="247" t="s">
        <v>5417</v>
      </c>
      <c r="H361" s="316">
        <v>23535784.5</v>
      </c>
      <c r="I361" s="317">
        <v>135432</v>
      </c>
      <c r="J361" s="527">
        <v>21081398</v>
      </c>
      <c r="K361" s="527">
        <v>2318953</v>
      </c>
      <c r="L361" s="336">
        <f t="shared" ref="L361:L362" si="108">SUM(J361:K361)</f>
        <v>23400351</v>
      </c>
      <c r="M361" s="316">
        <f t="shared" ref="M361:M362" si="109">H361-I361</f>
        <v>23400352.5</v>
      </c>
    </row>
    <row r="362" spans="1:13" s="248" customFormat="1" x14ac:dyDescent="0.25">
      <c r="A362" s="264">
        <v>45099</v>
      </c>
      <c r="B362" s="433">
        <v>45097</v>
      </c>
      <c r="C362" s="328" t="s">
        <v>4951</v>
      </c>
      <c r="D362" s="263" t="s">
        <v>297</v>
      </c>
      <c r="E362" s="265" t="s">
        <v>369</v>
      </c>
      <c r="F362" s="262" t="s">
        <v>395</v>
      </c>
      <c r="G362" s="247" t="s">
        <v>5418</v>
      </c>
      <c r="H362" s="316">
        <v>3790500</v>
      </c>
      <c r="I362" s="317">
        <v>0</v>
      </c>
      <c r="J362" s="527">
        <v>3414864</v>
      </c>
      <c r="K362" s="527">
        <v>375635</v>
      </c>
      <c r="L362" s="336">
        <f t="shared" si="108"/>
        <v>3790499</v>
      </c>
      <c r="M362" s="316">
        <f t="shared" si="109"/>
        <v>3790500</v>
      </c>
    </row>
    <row r="363" spans="1:13" s="248" customFormat="1" x14ac:dyDescent="0.25">
      <c r="A363" s="264">
        <v>45103</v>
      </c>
      <c r="B363" s="433">
        <v>45098</v>
      </c>
      <c r="C363" s="328" t="s">
        <v>4985</v>
      </c>
      <c r="D363" s="263" t="s">
        <v>297</v>
      </c>
      <c r="E363" s="265" t="s">
        <v>369</v>
      </c>
      <c r="F363" s="262" t="s">
        <v>395</v>
      </c>
      <c r="G363" s="247" t="s">
        <v>5431</v>
      </c>
      <c r="H363" s="316">
        <v>52533337.5</v>
      </c>
      <c r="I363" s="317">
        <v>0</v>
      </c>
      <c r="J363" s="527">
        <v>47327331</v>
      </c>
      <c r="K363" s="527">
        <v>5206006</v>
      </c>
      <c r="L363" s="336">
        <f t="shared" ref="L363:L371" si="110">SUM(J363:K363)</f>
        <v>52533337</v>
      </c>
      <c r="M363" s="316">
        <f t="shared" ref="M363:M371" si="111">H363-I363</f>
        <v>52533337.5</v>
      </c>
    </row>
    <row r="364" spans="1:13" s="248" customFormat="1" x14ac:dyDescent="0.25">
      <c r="A364" s="264">
        <v>45103</v>
      </c>
      <c r="B364" s="433">
        <v>45098</v>
      </c>
      <c r="C364" s="328" t="s">
        <v>4986</v>
      </c>
      <c r="D364" s="263" t="s">
        <v>297</v>
      </c>
      <c r="E364" s="265" t="s">
        <v>369</v>
      </c>
      <c r="F364" s="262" t="s">
        <v>395</v>
      </c>
      <c r="G364" s="247" t="s">
        <v>5432</v>
      </c>
      <c r="H364" s="316">
        <v>39614715</v>
      </c>
      <c r="I364" s="317">
        <v>0</v>
      </c>
      <c r="J364" s="527">
        <v>35688932</v>
      </c>
      <c r="K364" s="527">
        <v>3925782</v>
      </c>
      <c r="L364" s="336">
        <f t="shared" si="110"/>
        <v>39614714</v>
      </c>
      <c r="M364" s="316">
        <f t="shared" si="111"/>
        <v>39614715</v>
      </c>
    </row>
    <row r="365" spans="1:13" s="248" customFormat="1" x14ac:dyDescent="0.25">
      <c r="A365" s="264">
        <v>45103</v>
      </c>
      <c r="B365" s="433">
        <v>45098</v>
      </c>
      <c r="C365" s="328" t="s">
        <v>4987</v>
      </c>
      <c r="D365" s="263" t="s">
        <v>297</v>
      </c>
      <c r="E365" s="265" t="s">
        <v>369</v>
      </c>
      <c r="F365" s="262" t="s">
        <v>395</v>
      </c>
      <c r="G365" s="247" t="s">
        <v>5433</v>
      </c>
      <c r="H365" s="316">
        <v>11738580</v>
      </c>
      <c r="I365" s="317">
        <v>0</v>
      </c>
      <c r="J365" s="527">
        <v>10575297</v>
      </c>
      <c r="K365" s="527">
        <v>1163282</v>
      </c>
      <c r="L365" s="336">
        <f t="shared" si="110"/>
        <v>11738579</v>
      </c>
      <c r="M365" s="316">
        <f t="shared" si="111"/>
        <v>11738580</v>
      </c>
    </row>
    <row r="366" spans="1:13" s="248" customFormat="1" x14ac:dyDescent="0.25">
      <c r="A366" s="264">
        <v>45103</v>
      </c>
      <c r="B366" s="433">
        <v>45098</v>
      </c>
      <c r="C366" s="328" t="s">
        <v>4988</v>
      </c>
      <c r="D366" s="263" t="s">
        <v>297</v>
      </c>
      <c r="E366" s="265" t="s">
        <v>369</v>
      </c>
      <c r="F366" s="262" t="s">
        <v>395</v>
      </c>
      <c r="G366" s="247" t="s">
        <v>5434</v>
      </c>
      <c r="H366" s="316">
        <v>4838644.5</v>
      </c>
      <c r="I366" s="317">
        <v>135432</v>
      </c>
      <c r="J366" s="527">
        <v>4237128</v>
      </c>
      <c r="K366" s="527">
        <v>466084</v>
      </c>
      <c r="L366" s="336">
        <f t="shared" si="110"/>
        <v>4703212</v>
      </c>
      <c r="M366" s="316">
        <f t="shared" si="111"/>
        <v>4703212.5</v>
      </c>
    </row>
    <row r="367" spans="1:13" s="248" customFormat="1" x14ac:dyDescent="0.25">
      <c r="A367" s="264">
        <v>45103</v>
      </c>
      <c r="B367" s="433">
        <v>45098</v>
      </c>
      <c r="C367" s="328" t="s">
        <v>4989</v>
      </c>
      <c r="D367" s="263" t="s">
        <v>297</v>
      </c>
      <c r="E367" s="265" t="s">
        <v>369</v>
      </c>
      <c r="F367" s="262" t="s">
        <v>395</v>
      </c>
      <c r="G367" s="247" t="s">
        <v>5435</v>
      </c>
      <c r="H367" s="316">
        <v>49014157.5</v>
      </c>
      <c r="I367" s="317">
        <v>0</v>
      </c>
      <c r="J367" s="527">
        <v>44156898</v>
      </c>
      <c r="K367" s="527">
        <v>4857258</v>
      </c>
      <c r="L367" s="336">
        <f t="shared" si="110"/>
        <v>49014156</v>
      </c>
      <c r="M367" s="316">
        <f t="shared" si="111"/>
        <v>49014157.5</v>
      </c>
    </row>
    <row r="368" spans="1:13" s="248" customFormat="1" x14ac:dyDescent="0.25">
      <c r="A368" s="264">
        <v>45103</v>
      </c>
      <c r="B368" s="433">
        <v>45098</v>
      </c>
      <c r="C368" s="328" t="s">
        <v>4990</v>
      </c>
      <c r="D368" s="263" t="s">
        <v>297</v>
      </c>
      <c r="E368" s="265" t="s">
        <v>369</v>
      </c>
      <c r="F368" s="262" t="s">
        <v>395</v>
      </c>
      <c r="G368" s="247" t="s">
        <v>5436</v>
      </c>
      <c r="H368" s="316">
        <v>10647813.75</v>
      </c>
      <c r="I368" s="317">
        <v>0</v>
      </c>
      <c r="J368" s="527">
        <v>9592625</v>
      </c>
      <c r="K368" s="527">
        <v>1055188</v>
      </c>
      <c r="L368" s="336">
        <f t="shared" si="110"/>
        <v>10647813</v>
      </c>
      <c r="M368" s="316">
        <f t="shared" si="111"/>
        <v>10647813.75</v>
      </c>
    </row>
    <row r="369" spans="1:13" s="248" customFormat="1" x14ac:dyDescent="0.25">
      <c r="A369" s="264">
        <v>45104</v>
      </c>
      <c r="B369" s="433">
        <v>45099</v>
      </c>
      <c r="C369" s="328" t="s">
        <v>4991</v>
      </c>
      <c r="D369" s="263" t="s">
        <v>297</v>
      </c>
      <c r="E369" s="265" t="s">
        <v>369</v>
      </c>
      <c r="F369" s="262" t="s">
        <v>395</v>
      </c>
      <c r="G369" s="247" t="s">
        <v>5437</v>
      </c>
      <c r="H369" s="316">
        <v>40745880</v>
      </c>
      <c r="I369" s="317">
        <v>0</v>
      </c>
      <c r="J369" s="527">
        <v>36708000</v>
      </c>
      <c r="K369" s="527">
        <v>4037880</v>
      </c>
      <c r="L369" s="336">
        <f t="shared" si="110"/>
        <v>40745880</v>
      </c>
      <c r="M369" s="316">
        <f t="shared" si="111"/>
        <v>40745880</v>
      </c>
    </row>
    <row r="370" spans="1:13" s="248" customFormat="1" x14ac:dyDescent="0.25">
      <c r="A370" s="264">
        <v>45104</v>
      </c>
      <c r="B370" s="433">
        <v>45099</v>
      </c>
      <c r="C370" s="328" t="s">
        <v>4992</v>
      </c>
      <c r="D370" s="263" t="s">
        <v>297</v>
      </c>
      <c r="E370" s="265" t="s">
        <v>369</v>
      </c>
      <c r="F370" s="262" t="s">
        <v>395</v>
      </c>
      <c r="G370" s="247" t="s">
        <v>5438</v>
      </c>
      <c r="H370" s="316">
        <v>13133750</v>
      </c>
      <c r="I370" s="317">
        <v>0</v>
      </c>
      <c r="J370" s="527">
        <v>11832207</v>
      </c>
      <c r="K370" s="527">
        <v>1301542</v>
      </c>
      <c r="L370" s="336">
        <f t="shared" si="110"/>
        <v>13133749</v>
      </c>
      <c r="M370" s="316">
        <f t="shared" si="111"/>
        <v>13133750</v>
      </c>
    </row>
    <row r="371" spans="1:13" s="248" customFormat="1" x14ac:dyDescent="0.25">
      <c r="A371" s="264">
        <v>45104</v>
      </c>
      <c r="B371" s="433">
        <v>45099</v>
      </c>
      <c r="C371" s="328" t="s">
        <v>4993</v>
      </c>
      <c r="D371" s="263" t="s">
        <v>297</v>
      </c>
      <c r="E371" s="265" t="s">
        <v>369</v>
      </c>
      <c r="F371" s="262" t="s">
        <v>395</v>
      </c>
      <c r="G371" s="247" t="s">
        <v>5439</v>
      </c>
      <c r="H371" s="316">
        <v>13765500</v>
      </c>
      <c r="I371" s="317">
        <v>0</v>
      </c>
      <c r="J371" s="527">
        <v>12401351</v>
      </c>
      <c r="K371" s="527">
        <v>1364148</v>
      </c>
      <c r="L371" s="336">
        <f t="shared" si="110"/>
        <v>13765499</v>
      </c>
      <c r="M371" s="316">
        <f t="shared" si="111"/>
        <v>13765500</v>
      </c>
    </row>
    <row r="372" spans="1:13" s="248" customFormat="1" x14ac:dyDescent="0.25">
      <c r="A372" s="264">
        <v>45104</v>
      </c>
      <c r="B372" s="433">
        <v>45100</v>
      </c>
      <c r="C372" s="328" t="s">
        <v>5008</v>
      </c>
      <c r="D372" s="263" t="s">
        <v>297</v>
      </c>
      <c r="E372" s="265" t="s">
        <v>369</v>
      </c>
      <c r="F372" s="262" t="s">
        <v>395</v>
      </c>
      <c r="G372" s="247" t="s">
        <v>5440</v>
      </c>
      <c r="H372" s="316">
        <v>8806034.5</v>
      </c>
      <c r="I372" s="317">
        <v>135432</v>
      </c>
      <c r="J372" s="527">
        <v>7811353</v>
      </c>
      <c r="K372" s="527">
        <v>859248</v>
      </c>
      <c r="L372" s="336">
        <f t="shared" ref="L372:L375" si="112">SUM(J372:K372)</f>
        <v>8670601</v>
      </c>
      <c r="M372" s="316">
        <f t="shared" ref="M372:M375" si="113">H372-I372</f>
        <v>8670602.5</v>
      </c>
    </row>
    <row r="373" spans="1:13" s="248" customFormat="1" x14ac:dyDescent="0.25">
      <c r="A373" s="264">
        <v>45105</v>
      </c>
      <c r="B373" s="433">
        <v>45101</v>
      </c>
      <c r="C373" s="328" t="s">
        <v>5009</v>
      </c>
      <c r="D373" s="263" t="s">
        <v>297</v>
      </c>
      <c r="E373" s="265" t="s">
        <v>369</v>
      </c>
      <c r="F373" s="262" t="s">
        <v>395</v>
      </c>
      <c r="G373" s="247" t="s">
        <v>5441</v>
      </c>
      <c r="H373" s="316">
        <v>16127580</v>
      </c>
      <c r="I373" s="317">
        <v>0</v>
      </c>
      <c r="J373" s="527">
        <v>14529351</v>
      </c>
      <c r="K373" s="527">
        <v>1598228</v>
      </c>
      <c r="L373" s="336">
        <f t="shared" si="112"/>
        <v>16127579</v>
      </c>
      <c r="M373" s="316">
        <f t="shared" si="113"/>
        <v>16127580</v>
      </c>
    </row>
    <row r="374" spans="1:13" s="248" customFormat="1" x14ac:dyDescent="0.25">
      <c r="A374" s="264">
        <v>45105</v>
      </c>
      <c r="B374" s="433">
        <v>45103</v>
      </c>
      <c r="C374" s="328" t="s">
        <v>5010</v>
      </c>
      <c r="D374" s="263" t="s">
        <v>297</v>
      </c>
      <c r="E374" s="265" t="s">
        <v>369</v>
      </c>
      <c r="F374" s="262" t="s">
        <v>395</v>
      </c>
      <c r="G374" s="247" t="s">
        <v>5442</v>
      </c>
      <c r="H374" s="316">
        <v>24087630</v>
      </c>
      <c r="I374" s="317">
        <v>0</v>
      </c>
      <c r="J374" s="527">
        <v>21700567</v>
      </c>
      <c r="K374" s="527">
        <v>2387062</v>
      </c>
      <c r="L374" s="336">
        <f t="shared" si="112"/>
        <v>24087629</v>
      </c>
      <c r="M374" s="316">
        <f t="shared" si="113"/>
        <v>24087630</v>
      </c>
    </row>
    <row r="375" spans="1:13" s="248" customFormat="1" x14ac:dyDescent="0.25">
      <c r="A375" s="264">
        <v>45105</v>
      </c>
      <c r="B375" s="433">
        <v>45103</v>
      </c>
      <c r="C375" s="328" t="s">
        <v>5011</v>
      </c>
      <c r="D375" s="263" t="s">
        <v>297</v>
      </c>
      <c r="E375" s="265" t="s">
        <v>369</v>
      </c>
      <c r="F375" s="262" t="s">
        <v>395</v>
      </c>
      <c r="G375" s="247" t="s">
        <v>5443</v>
      </c>
      <c r="H375" s="316">
        <v>3162075</v>
      </c>
      <c r="I375" s="317">
        <v>0</v>
      </c>
      <c r="J375" s="527">
        <v>2021959</v>
      </c>
      <c r="K375" s="527">
        <v>222415</v>
      </c>
      <c r="L375" s="336">
        <f t="shared" si="112"/>
        <v>2244374</v>
      </c>
      <c r="M375" s="316">
        <f t="shared" si="113"/>
        <v>3162075</v>
      </c>
    </row>
    <row r="376" spans="1:13" s="248" customFormat="1" x14ac:dyDescent="0.25">
      <c r="A376" s="264">
        <v>45108</v>
      </c>
      <c r="B376" s="433">
        <v>45105</v>
      </c>
      <c r="C376" s="328" t="s">
        <v>5366</v>
      </c>
      <c r="D376" s="263" t="s">
        <v>297</v>
      </c>
      <c r="E376" s="265" t="s">
        <v>369</v>
      </c>
      <c r="F376" s="262" t="s">
        <v>395</v>
      </c>
      <c r="G376" s="247" t="s">
        <v>5444</v>
      </c>
      <c r="H376" s="316">
        <v>39613717.5</v>
      </c>
      <c r="I376" s="317">
        <v>0</v>
      </c>
      <c r="J376" s="527">
        <v>35688033</v>
      </c>
      <c r="K376" s="527">
        <v>3925683</v>
      </c>
      <c r="L376" s="336">
        <f t="shared" ref="L376:L379" si="114">SUM(J376:K376)</f>
        <v>39613716</v>
      </c>
      <c r="M376" s="316">
        <f t="shared" ref="M376:M379" si="115">H376-I376</f>
        <v>39613717.5</v>
      </c>
    </row>
    <row r="377" spans="1:13" s="248" customFormat="1" x14ac:dyDescent="0.25">
      <c r="A377" s="264">
        <v>45108</v>
      </c>
      <c r="B377" s="433">
        <v>45105</v>
      </c>
      <c r="C377" s="328" t="s">
        <v>5367</v>
      </c>
      <c r="D377" s="263" t="s">
        <v>297</v>
      </c>
      <c r="E377" s="265" t="s">
        <v>369</v>
      </c>
      <c r="F377" s="262" t="s">
        <v>395</v>
      </c>
      <c r="G377" s="247" t="s">
        <v>5445</v>
      </c>
      <c r="H377" s="316">
        <v>43667058.75</v>
      </c>
      <c r="I377" s="317">
        <v>0</v>
      </c>
      <c r="J377" s="527">
        <v>39339692</v>
      </c>
      <c r="K377" s="527">
        <v>4327366</v>
      </c>
      <c r="L377" s="336">
        <f t="shared" si="114"/>
        <v>43667058</v>
      </c>
      <c r="M377" s="316">
        <f t="shared" si="115"/>
        <v>43667058.75</v>
      </c>
    </row>
    <row r="378" spans="1:13" s="248" customFormat="1" x14ac:dyDescent="0.25">
      <c r="A378" s="264">
        <v>45108</v>
      </c>
      <c r="B378" s="433">
        <v>45105</v>
      </c>
      <c r="C378" s="328" t="s">
        <v>5368</v>
      </c>
      <c r="D378" s="263" t="s">
        <v>297</v>
      </c>
      <c r="E378" s="265" t="s">
        <v>369</v>
      </c>
      <c r="F378" s="262" t="s">
        <v>395</v>
      </c>
      <c r="G378" s="247" t="s">
        <v>5446</v>
      </c>
      <c r="H378" s="316">
        <v>33629715</v>
      </c>
      <c r="I378" s="317">
        <v>0</v>
      </c>
      <c r="J378" s="527">
        <v>30297040</v>
      </c>
      <c r="K378" s="527">
        <v>3332674</v>
      </c>
      <c r="L378" s="336">
        <f t="shared" si="114"/>
        <v>33629714</v>
      </c>
      <c r="M378" s="316">
        <f t="shared" si="115"/>
        <v>33629715</v>
      </c>
    </row>
    <row r="379" spans="1:13" s="248" customFormat="1" x14ac:dyDescent="0.25">
      <c r="A379" s="264">
        <v>45108</v>
      </c>
      <c r="B379" s="433">
        <v>45105</v>
      </c>
      <c r="C379" s="328" t="s">
        <v>5369</v>
      </c>
      <c r="D379" s="263" t="s">
        <v>297</v>
      </c>
      <c r="E379" s="265" t="s">
        <v>369</v>
      </c>
      <c r="F379" s="262" t="s">
        <v>395</v>
      </c>
      <c r="G379" s="247" t="s">
        <v>5447</v>
      </c>
      <c r="H379" s="316">
        <v>15272722.5</v>
      </c>
      <c r="I379" s="317">
        <v>395010</v>
      </c>
      <c r="J379" s="527">
        <v>13403344</v>
      </c>
      <c r="K379" s="527">
        <v>1474367</v>
      </c>
      <c r="L379" s="336">
        <f t="shared" si="114"/>
        <v>14877711</v>
      </c>
      <c r="M379" s="316">
        <f t="shared" si="115"/>
        <v>14877712.5</v>
      </c>
    </row>
    <row r="380" spans="1:13" s="248" customFormat="1" x14ac:dyDescent="0.25">
      <c r="A380" s="264">
        <v>45112</v>
      </c>
      <c r="B380" s="433">
        <v>45107</v>
      </c>
      <c r="C380" s="328" t="s">
        <v>5370</v>
      </c>
      <c r="D380" s="263" t="s">
        <v>297</v>
      </c>
      <c r="E380" s="265" t="s">
        <v>369</v>
      </c>
      <c r="F380" s="262" t="s">
        <v>395</v>
      </c>
      <c r="G380" s="247" t="s">
        <v>5448</v>
      </c>
      <c r="H380" s="316">
        <v>25566390.5</v>
      </c>
      <c r="I380" s="317">
        <v>0</v>
      </c>
      <c r="J380" s="527">
        <v>23032784</v>
      </c>
      <c r="K380" s="527">
        <v>2533606</v>
      </c>
      <c r="L380" s="336">
        <f>SUM(J380:K380)</f>
        <v>25566390</v>
      </c>
      <c r="M380" s="316">
        <f>H380-I380</f>
        <v>25566390.5</v>
      </c>
    </row>
    <row r="381" spans="1:13" s="248" customFormat="1" x14ac:dyDescent="0.25">
      <c r="A381" s="264">
        <v>45091</v>
      </c>
      <c r="B381" s="433">
        <v>45086</v>
      </c>
      <c r="C381" s="328" t="s">
        <v>4841</v>
      </c>
      <c r="D381" s="263" t="s">
        <v>299</v>
      </c>
      <c r="E381" s="265" t="s">
        <v>372</v>
      </c>
      <c r="F381" s="262" t="s">
        <v>6274</v>
      </c>
      <c r="G381" s="247" t="s">
        <v>5449</v>
      </c>
      <c r="H381" s="316">
        <v>25702250</v>
      </c>
      <c r="I381" s="317">
        <v>0</v>
      </c>
      <c r="J381" s="527">
        <v>23155180</v>
      </c>
      <c r="K381" s="527">
        <v>2547069</v>
      </c>
      <c r="L381" s="336">
        <f t="shared" ref="L381" si="116">SUM(J381:K381)</f>
        <v>25702249</v>
      </c>
      <c r="M381" s="316">
        <f t="shared" ref="M381" si="117">H381-I381</f>
        <v>25702250</v>
      </c>
    </row>
    <row r="382" spans="1:13" s="248" customFormat="1" x14ac:dyDescent="0.25">
      <c r="A382" s="264">
        <v>45096</v>
      </c>
      <c r="B382" s="433">
        <v>45092</v>
      </c>
      <c r="C382" s="328" t="s">
        <v>4863</v>
      </c>
      <c r="D382" s="263" t="s">
        <v>299</v>
      </c>
      <c r="E382" s="265" t="s">
        <v>372</v>
      </c>
      <c r="F382" s="262" t="s">
        <v>6274</v>
      </c>
      <c r="G382" s="247" t="s">
        <v>5450</v>
      </c>
      <c r="H382" s="316">
        <v>20947500</v>
      </c>
      <c r="I382" s="317">
        <v>0</v>
      </c>
      <c r="J382" s="527">
        <v>18871621</v>
      </c>
      <c r="K382" s="527">
        <v>2075878</v>
      </c>
      <c r="L382" s="336">
        <f t="shared" ref="L382" si="118">SUM(J382:K382)</f>
        <v>20947499</v>
      </c>
      <c r="M382" s="316">
        <f t="shared" ref="M382" si="119">H382-I382</f>
        <v>20947500</v>
      </c>
    </row>
    <row r="383" spans="1:13" s="248" customFormat="1" x14ac:dyDescent="0.25">
      <c r="A383" s="264">
        <v>45098</v>
      </c>
      <c r="B383" s="433">
        <v>45093</v>
      </c>
      <c r="C383" s="328" t="s">
        <v>4952</v>
      </c>
      <c r="D383" s="263" t="s">
        <v>299</v>
      </c>
      <c r="E383" s="265" t="s">
        <v>372</v>
      </c>
      <c r="F383" s="262" t="s">
        <v>6274</v>
      </c>
      <c r="G383" s="247" t="s">
        <v>5451</v>
      </c>
      <c r="H383" s="316">
        <v>15273575</v>
      </c>
      <c r="I383" s="317">
        <v>55575</v>
      </c>
      <c r="J383" s="527">
        <v>13709909</v>
      </c>
      <c r="K383" s="527">
        <v>1508090</v>
      </c>
      <c r="L383" s="336">
        <f t="shared" ref="L383:L384" si="120">SUM(J383:K383)</f>
        <v>15217999</v>
      </c>
      <c r="M383" s="316">
        <f t="shared" ref="M383:M384" si="121">H383-I383</f>
        <v>15218000</v>
      </c>
    </row>
    <row r="384" spans="1:13" s="248" customFormat="1" x14ac:dyDescent="0.25">
      <c r="A384" s="264">
        <v>45079</v>
      </c>
      <c r="B384" s="433">
        <v>45079</v>
      </c>
      <c r="C384" s="328" t="s">
        <v>4826</v>
      </c>
      <c r="D384" s="263" t="s">
        <v>376</v>
      </c>
      <c r="E384" s="265" t="s">
        <v>377</v>
      </c>
      <c r="F384" s="262" t="s">
        <v>4316</v>
      </c>
      <c r="G384" s="247" t="s">
        <v>4953</v>
      </c>
      <c r="H384" s="316">
        <v>7326000</v>
      </c>
      <c r="I384" s="317">
        <v>1245420</v>
      </c>
      <c r="J384" s="527">
        <v>5478000</v>
      </c>
      <c r="K384" s="527">
        <v>602580</v>
      </c>
      <c r="L384" s="336">
        <f t="shared" si="120"/>
        <v>6080580</v>
      </c>
      <c r="M384" s="316">
        <f t="shared" si="121"/>
        <v>6080580</v>
      </c>
    </row>
    <row r="385" spans="1:13" s="248" customFormat="1" x14ac:dyDescent="0.25">
      <c r="A385" s="264">
        <v>45079</v>
      </c>
      <c r="B385" s="433">
        <v>45079</v>
      </c>
      <c r="C385" s="328" t="s">
        <v>4827</v>
      </c>
      <c r="D385" s="263" t="s">
        <v>376</v>
      </c>
      <c r="E385" s="265" t="s">
        <v>377</v>
      </c>
      <c r="F385" s="262" t="s">
        <v>4316</v>
      </c>
      <c r="G385" s="247" t="s">
        <v>4954</v>
      </c>
      <c r="H385" s="316">
        <v>44584800</v>
      </c>
      <c r="I385" s="317">
        <v>7579416</v>
      </c>
      <c r="J385" s="527">
        <v>33338183</v>
      </c>
      <c r="K385" s="527">
        <v>3667200</v>
      </c>
      <c r="L385" s="336">
        <f t="shared" ref="L385:L395" si="122">SUM(J385:K385)</f>
        <v>37005383</v>
      </c>
      <c r="M385" s="316">
        <f t="shared" ref="M385:M395" si="123">H385-I385</f>
        <v>37005384</v>
      </c>
    </row>
    <row r="386" spans="1:13" s="248" customFormat="1" x14ac:dyDescent="0.25">
      <c r="A386" s="264">
        <v>45082</v>
      </c>
      <c r="B386" s="433">
        <v>45079</v>
      </c>
      <c r="C386" s="328" t="s">
        <v>4828</v>
      </c>
      <c r="D386" s="263" t="s">
        <v>376</v>
      </c>
      <c r="E386" s="265" t="s">
        <v>377</v>
      </c>
      <c r="F386" s="262" t="s">
        <v>4316</v>
      </c>
      <c r="G386" s="247" t="s">
        <v>4955</v>
      </c>
      <c r="H386" s="316">
        <v>118219200</v>
      </c>
      <c r="I386" s="317">
        <v>20097264</v>
      </c>
      <c r="J386" s="527">
        <v>88398140</v>
      </c>
      <c r="K386" s="527">
        <v>9723795</v>
      </c>
      <c r="L386" s="336">
        <f t="shared" si="122"/>
        <v>98121935</v>
      </c>
      <c r="M386" s="316">
        <f t="shared" si="123"/>
        <v>98121936</v>
      </c>
    </row>
    <row r="387" spans="1:13" s="248" customFormat="1" x14ac:dyDescent="0.25">
      <c r="A387" s="264">
        <v>45082</v>
      </c>
      <c r="B387" s="433">
        <v>45080</v>
      </c>
      <c r="C387" s="328" t="s">
        <v>4829</v>
      </c>
      <c r="D387" s="263" t="s">
        <v>376</v>
      </c>
      <c r="E387" s="265" t="s">
        <v>377</v>
      </c>
      <c r="F387" s="262" t="s">
        <v>4316</v>
      </c>
      <c r="G387" s="247" t="s">
        <v>4956</v>
      </c>
      <c r="H387" s="316">
        <v>50144800</v>
      </c>
      <c r="I387" s="317">
        <v>8524616</v>
      </c>
      <c r="J387" s="527">
        <v>37495661</v>
      </c>
      <c r="K387" s="527">
        <v>4124522</v>
      </c>
      <c r="L387" s="336">
        <f t="shared" si="122"/>
        <v>41620183</v>
      </c>
      <c r="M387" s="316">
        <f t="shared" si="123"/>
        <v>41620184</v>
      </c>
    </row>
    <row r="388" spans="1:13" s="248" customFormat="1" x14ac:dyDescent="0.25">
      <c r="A388" s="264">
        <v>45082</v>
      </c>
      <c r="B388" s="433">
        <v>45080</v>
      </c>
      <c r="C388" s="328" t="s">
        <v>4830</v>
      </c>
      <c r="D388" s="263" t="s">
        <v>376</v>
      </c>
      <c r="E388" s="265" t="s">
        <v>377</v>
      </c>
      <c r="F388" s="262" t="s">
        <v>4316</v>
      </c>
      <c r="G388" s="247" t="s">
        <v>4957</v>
      </c>
      <c r="H388" s="316">
        <v>55238400</v>
      </c>
      <c r="I388" s="317">
        <v>9390528</v>
      </c>
      <c r="J388" s="527">
        <v>41304389</v>
      </c>
      <c r="K388" s="527">
        <v>4543482</v>
      </c>
      <c r="L388" s="336">
        <f t="shared" si="122"/>
        <v>45847871</v>
      </c>
      <c r="M388" s="316">
        <f t="shared" si="123"/>
        <v>45847872</v>
      </c>
    </row>
    <row r="389" spans="1:13" s="248" customFormat="1" x14ac:dyDescent="0.25">
      <c r="A389" s="264">
        <v>45082</v>
      </c>
      <c r="B389" s="433">
        <v>45080</v>
      </c>
      <c r="C389" s="328" t="s">
        <v>4831</v>
      </c>
      <c r="D389" s="263" t="s">
        <v>376</v>
      </c>
      <c r="E389" s="265" t="s">
        <v>377</v>
      </c>
      <c r="F389" s="262" t="s">
        <v>4316</v>
      </c>
      <c r="G389" s="247" t="s">
        <v>4958</v>
      </c>
      <c r="H389" s="316">
        <v>43982400</v>
      </c>
      <c r="I389" s="317">
        <v>8389642.8000000007</v>
      </c>
      <c r="J389" s="527">
        <v>32065547</v>
      </c>
      <c r="K389" s="527">
        <v>3527210</v>
      </c>
      <c r="L389" s="336">
        <f t="shared" si="122"/>
        <v>35592757</v>
      </c>
      <c r="M389" s="316">
        <f t="shared" si="123"/>
        <v>35592757.200000003</v>
      </c>
    </row>
    <row r="390" spans="1:13" s="248" customFormat="1" x14ac:dyDescent="0.25">
      <c r="A390" s="264">
        <v>45085</v>
      </c>
      <c r="B390" s="433">
        <v>45083</v>
      </c>
      <c r="C390" s="328" t="s">
        <v>4832</v>
      </c>
      <c r="D390" s="263" t="s">
        <v>376</v>
      </c>
      <c r="E390" s="265" t="s">
        <v>377</v>
      </c>
      <c r="F390" s="262" t="s">
        <v>4316</v>
      </c>
      <c r="G390" s="247" t="s">
        <v>4959</v>
      </c>
      <c r="H390" s="316">
        <v>107270400</v>
      </c>
      <c r="I390" s="317">
        <v>18235968</v>
      </c>
      <c r="J390" s="527">
        <v>80211200</v>
      </c>
      <c r="K390" s="527">
        <v>8823232</v>
      </c>
      <c r="L390" s="336">
        <f t="shared" si="122"/>
        <v>89034432</v>
      </c>
      <c r="M390" s="316">
        <f t="shared" si="123"/>
        <v>89034432</v>
      </c>
    </row>
    <row r="391" spans="1:13" s="248" customFormat="1" x14ac:dyDescent="0.25">
      <c r="A391" s="264">
        <v>45085</v>
      </c>
      <c r="B391" s="433">
        <v>45083</v>
      </c>
      <c r="C391" s="328" t="s">
        <v>4833</v>
      </c>
      <c r="D391" s="263" t="s">
        <v>376</v>
      </c>
      <c r="E391" s="265" t="s">
        <v>377</v>
      </c>
      <c r="F391" s="262" t="s">
        <v>4316</v>
      </c>
      <c r="G391" s="247" t="s">
        <v>4960</v>
      </c>
      <c r="H391" s="316">
        <v>22245600</v>
      </c>
      <c r="I391" s="317">
        <v>3781752</v>
      </c>
      <c r="J391" s="527">
        <v>16634097</v>
      </c>
      <c r="K391" s="527">
        <v>1829750</v>
      </c>
      <c r="L391" s="336">
        <f t="shared" si="122"/>
        <v>18463847</v>
      </c>
      <c r="M391" s="316">
        <f t="shared" si="123"/>
        <v>18463848</v>
      </c>
    </row>
    <row r="392" spans="1:13" s="248" customFormat="1" x14ac:dyDescent="0.25">
      <c r="A392" s="264">
        <v>45085</v>
      </c>
      <c r="B392" s="433">
        <v>45084</v>
      </c>
      <c r="C392" s="328" t="s">
        <v>4834</v>
      </c>
      <c r="D392" s="263" t="s">
        <v>376</v>
      </c>
      <c r="E392" s="265" t="s">
        <v>377</v>
      </c>
      <c r="F392" s="262" t="s">
        <v>4316</v>
      </c>
      <c r="G392" s="247" t="s">
        <v>4961</v>
      </c>
      <c r="H392" s="316">
        <v>18144000</v>
      </c>
      <c r="I392" s="317">
        <v>3084480</v>
      </c>
      <c r="J392" s="527">
        <v>13567135</v>
      </c>
      <c r="K392" s="527">
        <v>1492384</v>
      </c>
      <c r="L392" s="336">
        <f t="shared" si="122"/>
        <v>15059519</v>
      </c>
      <c r="M392" s="316">
        <f t="shared" si="123"/>
        <v>15059520</v>
      </c>
    </row>
    <row r="393" spans="1:13" s="248" customFormat="1" x14ac:dyDescent="0.25">
      <c r="A393" s="264">
        <v>45086</v>
      </c>
      <c r="B393" s="433">
        <v>45085</v>
      </c>
      <c r="C393" s="328" t="s">
        <v>4835</v>
      </c>
      <c r="D393" s="263" t="s">
        <v>376</v>
      </c>
      <c r="E393" s="265" t="s">
        <v>377</v>
      </c>
      <c r="F393" s="262" t="s">
        <v>4316</v>
      </c>
      <c r="G393" s="247" t="s">
        <v>4962</v>
      </c>
      <c r="H393" s="316">
        <v>18880200</v>
      </c>
      <c r="I393" s="317">
        <v>3209634</v>
      </c>
      <c r="J393" s="527">
        <v>14117627</v>
      </c>
      <c r="K393" s="527">
        <v>1552938</v>
      </c>
      <c r="L393" s="336">
        <f t="shared" si="122"/>
        <v>15670565</v>
      </c>
      <c r="M393" s="316">
        <f t="shared" si="123"/>
        <v>15670566</v>
      </c>
    </row>
    <row r="394" spans="1:13" s="248" customFormat="1" x14ac:dyDescent="0.25">
      <c r="A394" s="264">
        <v>45089</v>
      </c>
      <c r="B394" s="433">
        <v>45086</v>
      </c>
      <c r="C394" s="328" t="s">
        <v>4836</v>
      </c>
      <c r="D394" s="263" t="s">
        <v>376</v>
      </c>
      <c r="E394" s="265" t="s">
        <v>377</v>
      </c>
      <c r="F394" s="262" t="s">
        <v>4316</v>
      </c>
      <c r="G394" s="247" t="s">
        <v>4963</v>
      </c>
      <c r="H394" s="316">
        <v>15552000</v>
      </c>
      <c r="I394" s="317">
        <v>2643840</v>
      </c>
      <c r="J394" s="527">
        <v>11628972</v>
      </c>
      <c r="K394" s="527">
        <v>1279187</v>
      </c>
      <c r="L394" s="336">
        <f t="shared" si="122"/>
        <v>12908159</v>
      </c>
      <c r="M394" s="316">
        <f t="shared" si="123"/>
        <v>12908160</v>
      </c>
    </row>
    <row r="395" spans="1:13" s="248" customFormat="1" x14ac:dyDescent="0.25">
      <c r="A395" s="264">
        <v>45091</v>
      </c>
      <c r="B395" s="433">
        <v>45087</v>
      </c>
      <c r="C395" s="328" t="s">
        <v>4837</v>
      </c>
      <c r="D395" s="263" t="s">
        <v>376</v>
      </c>
      <c r="E395" s="265" t="s">
        <v>377</v>
      </c>
      <c r="F395" s="262" t="s">
        <v>4316</v>
      </c>
      <c r="G395" s="247" t="s">
        <v>4964</v>
      </c>
      <c r="H395" s="316">
        <v>44368800</v>
      </c>
      <c r="I395" s="317">
        <v>7542696.0000000009</v>
      </c>
      <c r="J395" s="527">
        <v>33176670</v>
      </c>
      <c r="K395" s="527">
        <v>3649433</v>
      </c>
      <c r="L395" s="336">
        <f t="shared" si="122"/>
        <v>36826103</v>
      </c>
      <c r="M395" s="316">
        <f t="shared" si="123"/>
        <v>36826104</v>
      </c>
    </row>
    <row r="396" spans="1:13" s="248" customFormat="1" x14ac:dyDescent="0.25">
      <c r="A396" s="264">
        <v>45091</v>
      </c>
      <c r="B396" s="433">
        <v>45089</v>
      </c>
      <c r="C396" s="328" t="s">
        <v>4838</v>
      </c>
      <c r="D396" s="263" t="s">
        <v>376</v>
      </c>
      <c r="E396" s="265" t="s">
        <v>377</v>
      </c>
      <c r="F396" s="262" t="s">
        <v>4316</v>
      </c>
      <c r="G396" s="247" t="s">
        <v>4965</v>
      </c>
      <c r="H396" s="316">
        <v>37215200</v>
      </c>
      <c r="I396" s="317">
        <v>6326584</v>
      </c>
      <c r="J396" s="527">
        <v>27827581</v>
      </c>
      <c r="K396" s="527">
        <v>3061034</v>
      </c>
      <c r="L396" s="336">
        <f t="shared" ref="L396:L397" si="124">SUM(J396:K396)</f>
        <v>30888615</v>
      </c>
      <c r="M396" s="316">
        <f t="shared" ref="M396:M397" si="125">H396-I396</f>
        <v>30888616</v>
      </c>
    </row>
    <row r="397" spans="1:13" s="248" customFormat="1" x14ac:dyDescent="0.25">
      <c r="A397" s="264">
        <v>45091</v>
      </c>
      <c r="B397" s="433">
        <v>45089</v>
      </c>
      <c r="C397" s="328" t="s">
        <v>4839</v>
      </c>
      <c r="D397" s="263" t="s">
        <v>376</v>
      </c>
      <c r="E397" s="265" t="s">
        <v>377</v>
      </c>
      <c r="F397" s="262" t="s">
        <v>4316</v>
      </c>
      <c r="G397" s="247" t="s">
        <v>4966</v>
      </c>
      <c r="H397" s="316">
        <v>13294000</v>
      </c>
      <c r="I397" s="317">
        <v>2259980</v>
      </c>
      <c r="J397" s="527">
        <v>9940558</v>
      </c>
      <c r="K397" s="527">
        <v>1093461</v>
      </c>
      <c r="L397" s="336">
        <f t="shared" si="124"/>
        <v>11034019</v>
      </c>
      <c r="M397" s="316">
        <f t="shared" si="125"/>
        <v>11034020</v>
      </c>
    </row>
    <row r="398" spans="1:13" s="248" customFormat="1" x14ac:dyDescent="0.25">
      <c r="A398" s="264">
        <v>45094</v>
      </c>
      <c r="B398" s="433">
        <v>45092</v>
      </c>
      <c r="C398" s="328" t="s">
        <v>4853</v>
      </c>
      <c r="D398" s="263" t="s">
        <v>376</v>
      </c>
      <c r="E398" s="265" t="s">
        <v>377</v>
      </c>
      <c r="F398" s="262" t="s">
        <v>4316</v>
      </c>
      <c r="G398" s="247" t="s">
        <v>4967</v>
      </c>
      <c r="H398" s="316">
        <v>21858000</v>
      </c>
      <c r="I398" s="317">
        <v>3715860.0000000005</v>
      </c>
      <c r="J398" s="527">
        <v>16344270</v>
      </c>
      <c r="K398" s="527">
        <v>1797869</v>
      </c>
      <c r="L398" s="336">
        <f t="shared" ref="L398:L400" si="126">SUM(J398:K398)</f>
        <v>18142139</v>
      </c>
      <c r="M398" s="316">
        <f t="shared" ref="M398:M400" si="127">H398-I398</f>
        <v>18142140</v>
      </c>
    </row>
    <row r="399" spans="1:13" s="248" customFormat="1" x14ac:dyDescent="0.25">
      <c r="A399" s="264">
        <v>45096</v>
      </c>
      <c r="B399" s="433">
        <v>45093</v>
      </c>
      <c r="C399" s="328" t="s">
        <v>4854</v>
      </c>
      <c r="D399" s="263" t="s">
        <v>376</v>
      </c>
      <c r="E399" s="265" t="s">
        <v>377</v>
      </c>
      <c r="F399" s="262" t="s">
        <v>4316</v>
      </c>
      <c r="G399" s="247" t="s">
        <v>4970</v>
      </c>
      <c r="H399" s="316">
        <v>37480400</v>
      </c>
      <c r="I399" s="317">
        <v>6371668</v>
      </c>
      <c r="J399" s="527">
        <v>28025884</v>
      </c>
      <c r="K399" s="527">
        <v>3082847</v>
      </c>
      <c r="L399" s="336">
        <f t="shared" si="126"/>
        <v>31108731</v>
      </c>
      <c r="M399" s="316">
        <f t="shared" si="127"/>
        <v>31108732</v>
      </c>
    </row>
    <row r="400" spans="1:13" s="248" customFormat="1" x14ac:dyDescent="0.25">
      <c r="A400" s="264">
        <v>45096</v>
      </c>
      <c r="B400" s="433">
        <v>45094</v>
      </c>
      <c r="C400" s="328" t="s">
        <v>4855</v>
      </c>
      <c r="D400" s="263" t="s">
        <v>376</v>
      </c>
      <c r="E400" s="265" t="s">
        <v>377</v>
      </c>
      <c r="F400" s="262" t="s">
        <v>4316</v>
      </c>
      <c r="G400" s="247" t="s">
        <v>4971</v>
      </c>
      <c r="H400" s="316">
        <v>30380800</v>
      </c>
      <c r="I400" s="317">
        <v>5164736</v>
      </c>
      <c r="J400" s="527">
        <v>22717174</v>
      </c>
      <c r="K400" s="527">
        <v>2498889</v>
      </c>
      <c r="L400" s="336">
        <f t="shared" si="126"/>
        <v>25216063</v>
      </c>
      <c r="M400" s="316">
        <f t="shared" si="127"/>
        <v>25216064</v>
      </c>
    </row>
    <row r="401" spans="1:13" s="248" customFormat="1" x14ac:dyDescent="0.25">
      <c r="A401" s="264">
        <v>45098</v>
      </c>
      <c r="B401" s="433">
        <v>45096</v>
      </c>
      <c r="C401" s="328" t="s">
        <v>4947</v>
      </c>
      <c r="D401" s="263" t="s">
        <v>376</v>
      </c>
      <c r="E401" s="265" t="s">
        <v>377</v>
      </c>
      <c r="F401" s="262" t="s">
        <v>4316</v>
      </c>
      <c r="G401" s="247" t="s">
        <v>4972</v>
      </c>
      <c r="H401" s="316">
        <v>5544000</v>
      </c>
      <c r="I401" s="317">
        <v>942480.00000000012</v>
      </c>
      <c r="J401" s="527">
        <v>4145513</v>
      </c>
      <c r="K401" s="527">
        <v>456006</v>
      </c>
      <c r="L401" s="336">
        <f t="shared" ref="L401:L402" si="128">SUM(J401:K401)</f>
        <v>4601519</v>
      </c>
      <c r="M401" s="316">
        <f t="shared" ref="M401:M406" si="129">H401-I401</f>
        <v>4601520</v>
      </c>
    </row>
    <row r="402" spans="1:13" s="248" customFormat="1" x14ac:dyDescent="0.25">
      <c r="A402" s="264">
        <v>45098</v>
      </c>
      <c r="B402" s="433">
        <v>45096</v>
      </c>
      <c r="C402" s="328" t="s">
        <v>4948</v>
      </c>
      <c r="D402" s="263" t="s">
        <v>376</v>
      </c>
      <c r="E402" s="265" t="s">
        <v>377</v>
      </c>
      <c r="F402" s="262" t="s">
        <v>4316</v>
      </c>
      <c r="G402" s="247" t="s">
        <v>4973</v>
      </c>
      <c r="H402" s="316">
        <v>14880000</v>
      </c>
      <c r="I402" s="317">
        <v>2529600</v>
      </c>
      <c r="J402" s="527">
        <v>11126486</v>
      </c>
      <c r="K402" s="527">
        <v>1223913</v>
      </c>
      <c r="L402" s="336">
        <f t="shared" si="128"/>
        <v>12350399</v>
      </c>
      <c r="M402" s="316">
        <f t="shared" si="129"/>
        <v>12350400</v>
      </c>
    </row>
    <row r="403" spans="1:13" s="248" customFormat="1" x14ac:dyDescent="0.25">
      <c r="A403" s="264">
        <v>45099</v>
      </c>
      <c r="B403" s="433">
        <v>45097</v>
      </c>
      <c r="C403" s="328" t="s">
        <v>4949</v>
      </c>
      <c r="D403" s="263" t="s">
        <v>376</v>
      </c>
      <c r="E403" s="265" t="s">
        <v>377</v>
      </c>
      <c r="F403" s="262" t="s">
        <v>4316</v>
      </c>
      <c r="G403" s="247" t="s">
        <v>5014</v>
      </c>
      <c r="H403" s="316">
        <v>29322000</v>
      </c>
      <c r="I403" s="317">
        <v>4984740</v>
      </c>
      <c r="J403" s="527">
        <v>21925459</v>
      </c>
      <c r="K403" s="527">
        <v>2411800</v>
      </c>
      <c r="L403" s="336">
        <f t="shared" ref="L403:L406" si="130">SUM(J403:K403)</f>
        <v>24337259</v>
      </c>
      <c r="M403" s="316">
        <f t="shared" si="129"/>
        <v>24337260</v>
      </c>
    </row>
    <row r="404" spans="1:13" s="248" customFormat="1" x14ac:dyDescent="0.25">
      <c r="A404" s="264">
        <v>45100</v>
      </c>
      <c r="B404" s="433">
        <v>45099</v>
      </c>
      <c r="C404" s="328" t="s">
        <v>4981</v>
      </c>
      <c r="D404" s="263" t="s">
        <v>376</v>
      </c>
      <c r="E404" s="265" t="s">
        <v>377</v>
      </c>
      <c r="F404" s="262" t="s">
        <v>4316</v>
      </c>
      <c r="G404" s="247" t="s">
        <v>5013</v>
      </c>
      <c r="H404" s="316">
        <v>43592000</v>
      </c>
      <c r="I404" s="317">
        <v>8701456</v>
      </c>
      <c r="J404" s="527">
        <v>31432922</v>
      </c>
      <c r="K404" s="527">
        <v>3457621</v>
      </c>
      <c r="L404" s="336">
        <f t="shared" si="130"/>
        <v>34890543</v>
      </c>
      <c r="M404" s="316">
        <f t="shared" si="129"/>
        <v>34890544</v>
      </c>
    </row>
    <row r="405" spans="1:13" s="248" customFormat="1" x14ac:dyDescent="0.25">
      <c r="A405" s="264">
        <v>45100</v>
      </c>
      <c r="B405" s="433">
        <v>45099</v>
      </c>
      <c r="C405" s="328" t="s">
        <v>4982</v>
      </c>
      <c r="D405" s="263" t="s">
        <v>376</v>
      </c>
      <c r="E405" s="265" t="s">
        <v>377</v>
      </c>
      <c r="F405" s="262" t="s">
        <v>4316</v>
      </c>
      <c r="G405" s="247" t="s">
        <v>5015</v>
      </c>
      <c r="H405" s="316">
        <v>143009200</v>
      </c>
      <c r="I405" s="317">
        <v>24311564.000000004</v>
      </c>
      <c r="J405" s="527">
        <v>106934807</v>
      </c>
      <c r="K405" s="527">
        <v>11762828</v>
      </c>
      <c r="L405" s="336">
        <f t="shared" si="130"/>
        <v>118697635</v>
      </c>
      <c r="M405" s="316">
        <f t="shared" si="129"/>
        <v>118697636</v>
      </c>
    </row>
    <row r="406" spans="1:13" s="248" customFormat="1" x14ac:dyDescent="0.25">
      <c r="A406" s="264">
        <v>45100</v>
      </c>
      <c r="B406" s="433">
        <v>45099</v>
      </c>
      <c r="C406" s="328" t="s">
        <v>4983</v>
      </c>
      <c r="D406" s="263" t="s">
        <v>376</v>
      </c>
      <c r="E406" s="265" t="s">
        <v>377</v>
      </c>
      <c r="F406" s="262" t="s">
        <v>4316</v>
      </c>
      <c r="G406" s="247" t="s">
        <v>5016</v>
      </c>
      <c r="H406" s="316">
        <v>18942000</v>
      </c>
      <c r="I406" s="317">
        <v>3220140</v>
      </c>
      <c r="J406" s="527">
        <v>14163837</v>
      </c>
      <c r="K406" s="527">
        <v>1558022</v>
      </c>
      <c r="L406" s="336">
        <f t="shared" si="130"/>
        <v>15721859</v>
      </c>
      <c r="M406" s="316">
        <f t="shared" si="129"/>
        <v>15721860</v>
      </c>
    </row>
    <row r="407" spans="1:13" s="248" customFormat="1" x14ac:dyDescent="0.25">
      <c r="A407" s="264">
        <v>45103</v>
      </c>
      <c r="B407" s="433">
        <v>45100</v>
      </c>
      <c r="C407" s="328" t="s">
        <v>4984</v>
      </c>
      <c r="D407" s="263" t="s">
        <v>376</v>
      </c>
      <c r="E407" s="265" t="s">
        <v>377</v>
      </c>
      <c r="F407" s="262" t="s">
        <v>4316</v>
      </c>
      <c r="G407" s="247" t="s">
        <v>5017</v>
      </c>
      <c r="H407" s="316">
        <v>4752000</v>
      </c>
      <c r="I407" s="317">
        <v>807840</v>
      </c>
      <c r="J407" s="527">
        <v>3553297</v>
      </c>
      <c r="K407" s="527">
        <v>390862</v>
      </c>
      <c r="L407" s="336">
        <f t="shared" ref="L407" si="131">SUM(J407:K407)</f>
        <v>3944159</v>
      </c>
      <c r="M407" s="316">
        <f t="shared" ref="M407" si="132">H407-I407</f>
        <v>3944160</v>
      </c>
    </row>
    <row r="408" spans="1:13" s="248" customFormat="1" x14ac:dyDescent="0.25">
      <c r="A408" s="264">
        <v>45104</v>
      </c>
      <c r="B408" s="433">
        <v>45101</v>
      </c>
      <c r="C408" s="328" t="s">
        <v>5004</v>
      </c>
      <c r="D408" s="263" t="s">
        <v>376</v>
      </c>
      <c r="E408" s="265" t="s">
        <v>377</v>
      </c>
      <c r="F408" s="262" t="s">
        <v>4316</v>
      </c>
      <c r="G408" s="247" t="s">
        <v>5018</v>
      </c>
      <c r="H408" s="316">
        <v>4404000</v>
      </c>
      <c r="I408" s="317">
        <v>748680</v>
      </c>
      <c r="J408" s="527">
        <v>3293081</v>
      </c>
      <c r="K408" s="527">
        <v>362238</v>
      </c>
      <c r="L408" s="336">
        <f t="shared" ref="L408:L410" si="133">SUM(J408:K408)</f>
        <v>3655319</v>
      </c>
      <c r="M408" s="316">
        <f t="shared" ref="M408:M410" si="134">H408-I408</f>
        <v>3655320</v>
      </c>
    </row>
    <row r="409" spans="1:13" s="248" customFormat="1" x14ac:dyDescent="0.25">
      <c r="A409" s="264">
        <v>45104</v>
      </c>
      <c r="B409" s="433">
        <v>45103</v>
      </c>
      <c r="C409" s="328" t="s">
        <v>5005</v>
      </c>
      <c r="D409" s="263" t="s">
        <v>376</v>
      </c>
      <c r="E409" s="265" t="s">
        <v>377</v>
      </c>
      <c r="F409" s="262" t="s">
        <v>4316</v>
      </c>
      <c r="G409" s="247" t="s">
        <v>5019</v>
      </c>
      <c r="H409" s="316">
        <v>29128800</v>
      </c>
      <c r="I409" s="317">
        <v>4951896</v>
      </c>
      <c r="J409" s="527">
        <v>21780994</v>
      </c>
      <c r="K409" s="527">
        <v>2395909</v>
      </c>
      <c r="L409" s="336">
        <f t="shared" si="133"/>
        <v>24176903</v>
      </c>
      <c r="M409" s="316">
        <f t="shared" si="134"/>
        <v>24176904</v>
      </c>
    </row>
    <row r="410" spans="1:13" s="248" customFormat="1" x14ac:dyDescent="0.25">
      <c r="A410" s="264">
        <v>45105</v>
      </c>
      <c r="B410" s="433">
        <v>45104</v>
      </c>
      <c r="C410" s="328" t="s">
        <v>5006</v>
      </c>
      <c r="D410" s="263" t="s">
        <v>376</v>
      </c>
      <c r="E410" s="265" t="s">
        <v>377</v>
      </c>
      <c r="F410" s="262" t="s">
        <v>4316</v>
      </c>
      <c r="G410" s="247" t="s">
        <v>5020</v>
      </c>
      <c r="H410" s="316">
        <v>2875000</v>
      </c>
      <c r="I410" s="317">
        <v>488750.00000000006</v>
      </c>
      <c r="J410" s="527">
        <v>2149774</v>
      </c>
      <c r="K410" s="527">
        <v>236475</v>
      </c>
      <c r="L410" s="336">
        <f t="shared" si="133"/>
        <v>2386249</v>
      </c>
      <c r="M410" s="316">
        <f t="shared" si="134"/>
        <v>2386250</v>
      </c>
    </row>
    <row r="411" spans="1:13" s="248" customFormat="1" x14ac:dyDescent="0.25">
      <c r="A411" s="264">
        <v>45082</v>
      </c>
      <c r="B411" s="433">
        <v>45079</v>
      </c>
      <c r="C411" s="328" t="s">
        <v>4840</v>
      </c>
      <c r="D411" s="263" t="s">
        <v>303</v>
      </c>
      <c r="E411" s="265" t="s">
        <v>373</v>
      </c>
      <c r="F411" s="262" t="s">
        <v>4317</v>
      </c>
      <c r="G411" s="247" t="s">
        <v>4995</v>
      </c>
      <c r="H411" s="316">
        <v>6000000</v>
      </c>
      <c r="I411" s="317">
        <v>0</v>
      </c>
      <c r="J411" s="527">
        <v>5405407</v>
      </c>
      <c r="K411" s="527">
        <v>594594</v>
      </c>
      <c r="L411" s="336">
        <f t="shared" ref="L411" si="135">SUM(J411:K411)</f>
        <v>6000001</v>
      </c>
      <c r="M411" s="316">
        <f t="shared" ref="M411" si="136">H411-I411</f>
        <v>6000000</v>
      </c>
    </row>
    <row r="412" spans="1:13" s="248" customFormat="1" x14ac:dyDescent="0.25">
      <c r="A412" s="264">
        <v>45096</v>
      </c>
      <c r="B412" s="433">
        <v>45092</v>
      </c>
      <c r="C412" s="328" t="s">
        <v>4866</v>
      </c>
      <c r="D412" s="263" t="s">
        <v>303</v>
      </c>
      <c r="E412" s="265" t="s">
        <v>373</v>
      </c>
      <c r="F412" s="262" t="s">
        <v>4317</v>
      </c>
      <c r="G412" s="247" t="s">
        <v>4996</v>
      </c>
      <c r="H412" s="316">
        <v>28000000</v>
      </c>
      <c r="I412" s="317">
        <v>2800000</v>
      </c>
      <c r="J412" s="527">
        <v>22702720</v>
      </c>
      <c r="K412" s="527">
        <v>2497299</v>
      </c>
      <c r="L412" s="336">
        <f t="shared" ref="L412:L414" si="137">SUM(J412:K412)</f>
        <v>25200019</v>
      </c>
      <c r="M412" s="316">
        <f t="shared" ref="M412:M414" si="138">H412-I412</f>
        <v>25200000</v>
      </c>
    </row>
    <row r="413" spans="1:13" s="248" customFormat="1" x14ac:dyDescent="0.25">
      <c r="A413" s="264">
        <v>45105</v>
      </c>
      <c r="B413" s="433">
        <v>45103</v>
      </c>
      <c r="C413" s="328" t="s">
        <v>5007</v>
      </c>
      <c r="D413" s="263" t="s">
        <v>303</v>
      </c>
      <c r="E413" s="265" t="s">
        <v>373</v>
      </c>
      <c r="F413" s="262" t="s">
        <v>4317</v>
      </c>
      <c r="G413" s="247" t="s">
        <v>5396</v>
      </c>
      <c r="H413" s="316">
        <v>28000000</v>
      </c>
      <c r="I413" s="317">
        <v>2800000</v>
      </c>
      <c r="J413" s="527">
        <v>22702720</v>
      </c>
      <c r="K413" s="527">
        <v>2497299</v>
      </c>
      <c r="L413" s="336">
        <f t="shared" ref="L413" si="139">SUM(J413:K413)</f>
        <v>25200019</v>
      </c>
      <c r="M413" s="316">
        <f t="shared" ref="M413" si="140">H413-I413</f>
        <v>25200000</v>
      </c>
    </row>
    <row r="414" spans="1:13" s="248" customFormat="1" x14ac:dyDescent="0.25">
      <c r="A414" s="264">
        <v>45093</v>
      </c>
      <c r="B414" s="433">
        <v>45090</v>
      </c>
      <c r="C414" s="328" t="s">
        <v>4864</v>
      </c>
      <c r="D414" s="263" t="s">
        <v>4865</v>
      </c>
      <c r="E414" s="265" t="s">
        <v>374</v>
      </c>
      <c r="F414" s="262" t="s">
        <v>375</v>
      </c>
      <c r="G414" s="247" t="s">
        <v>5039</v>
      </c>
      <c r="H414" s="316">
        <v>11208000</v>
      </c>
      <c r="I414" s="317">
        <v>0</v>
      </c>
      <c r="J414" s="527">
        <v>10097352</v>
      </c>
      <c r="K414" s="527">
        <v>1110708</v>
      </c>
      <c r="L414" s="336">
        <f t="shared" si="137"/>
        <v>11208060</v>
      </c>
      <c r="M414" s="316">
        <f t="shared" si="138"/>
        <v>11208000</v>
      </c>
    </row>
    <row r="415" spans="1:13" ht="18" x14ac:dyDescent="0.25">
      <c r="A415" s="435" t="s">
        <v>38</v>
      </c>
      <c r="B415" s="434"/>
      <c r="C415" s="437"/>
      <c r="D415" s="436"/>
      <c r="E415" s="441"/>
      <c r="F415" s="441"/>
      <c r="G415" s="438"/>
      <c r="H415" s="336">
        <f>SUM(H342:H414)</f>
        <v>2197645412.75</v>
      </c>
      <c r="I415" s="335"/>
      <c r="J415" s="528">
        <f>SUM(J342:J414)</f>
        <v>1811383445</v>
      </c>
      <c r="K415" s="528">
        <f>SUM(K342:K414)</f>
        <v>199252148</v>
      </c>
      <c r="L415" s="337">
        <f>SUM(L342:L414)</f>
        <v>2010635593</v>
      </c>
      <c r="M415" s="337">
        <f>SUM(M342:M414)</f>
        <v>2011553255.95</v>
      </c>
    </row>
    <row r="416" spans="1:13" ht="18" x14ac:dyDescent="0.25">
      <c r="A416" s="432" t="s">
        <v>104</v>
      </c>
      <c r="B416" s="432"/>
      <c r="C416" s="344"/>
      <c r="D416" s="343"/>
      <c r="E416" s="440"/>
      <c r="F416" s="440"/>
      <c r="G416" s="343"/>
      <c r="H416" s="345"/>
      <c r="I416" s="345"/>
      <c r="J416" s="526"/>
      <c r="K416" s="526"/>
      <c r="L416" s="612"/>
      <c r="M416" s="346"/>
    </row>
    <row r="417" spans="1:16" s="248" customFormat="1" x14ac:dyDescent="0.25">
      <c r="A417" s="264">
        <v>45113</v>
      </c>
      <c r="B417" s="433">
        <v>45107</v>
      </c>
      <c r="C417" s="328" t="s">
        <v>5415</v>
      </c>
      <c r="D417" s="263" t="s">
        <v>378</v>
      </c>
      <c r="E417" s="265" t="s">
        <v>379</v>
      </c>
      <c r="F417" s="262" t="s">
        <v>380</v>
      </c>
      <c r="G417" s="247" t="s">
        <v>5411</v>
      </c>
      <c r="H417" s="316">
        <v>95904000</v>
      </c>
      <c r="I417" s="317">
        <v>6713280.0000000009</v>
      </c>
      <c r="J417" s="527">
        <f>(H417-I417)/1.11</f>
        <v>80352000</v>
      </c>
      <c r="K417" s="527">
        <f>J417*11%</f>
        <v>8838720</v>
      </c>
      <c r="L417" s="336">
        <f t="shared" ref="L417:L422" si="141">SUM(J417:K417)</f>
        <v>89190720</v>
      </c>
      <c r="M417" s="316">
        <f t="shared" ref="M417:M422" si="142">H417-I417</f>
        <v>89190720</v>
      </c>
    </row>
    <row r="418" spans="1:16" s="248" customFormat="1" x14ac:dyDescent="0.25">
      <c r="A418" s="264">
        <v>45113</v>
      </c>
      <c r="B418" s="433">
        <v>45107</v>
      </c>
      <c r="C418" s="328" t="s">
        <v>5364</v>
      </c>
      <c r="D418" s="263" t="s">
        <v>378</v>
      </c>
      <c r="E418" s="265" t="s">
        <v>379</v>
      </c>
      <c r="F418" s="262" t="s">
        <v>380</v>
      </c>
      <c r="G418" s="247" t="s">
        <v>5412</v>
      </c>
      <c r="H418" s="316">
        <v>97872000</v>
      </c>
      <c r="I418" s="317">
        <v>6851040</v>
      </c>
      <c r="J418" s="527">
        <v>81982432</v>
      </c>
      <c r="K418" s="527">
        <v>9018068</v>
      </c>
      <c r="L418" s="336">
        <f t="shared" si="141"/>
        <v>91000500</v>
      </c>
      <c r="M418" s="316">
        <f t="shared" si="142"/>
        <v>91020960</v>
      </c>
    </row>
    <row r="419" spans="1:16" s="248" customFormat="1" x14ac:dyDescent="0.25">
      <c r="A419" s="264">
        <v>45114</v>
      </c>
      <c r="B419" s="433">
        <v>45107</v>
      </c>
      <c r="C419" s="328" t="s">
        <v>5365</v>
      </c>
      <c r="D419" s="263" t="s">
        <v>378</v>
      </c>
      <c r="E419" s="265" t="s">
        <v>379</v>
      </c>
      <c r="F419" s="262" t="s">
        <v>380</v>
      </c>
      <c r="G419" s="247" t="s">
        <v>5413</v>
      </c>
      <c r="H419" s="316">
        <v>126072000</v>
      </c>
      <c r="I419" s="317">
        <v>8825040</v>
      </c>
      <c r="J419" s="527">
        <v>105627892</v>
      </c>
      <c r="K419" s="527">
        <v>11619068</v>
      </c>
      <c r="L419" s="336">
        <f t="shared" si="141"/>
        <v>117246960</v>
      </c>
      <c r="M419" s="316">
        <f t="shared" si="142"/>
        <v>117246960</v>
      </c>
    </row>
    <row r="420" spans="1:16" s="248" customFormat="1" x14ac:dyDescent="0.25">
      <c r="A420" s="264">
        <v>45114</v>
      </c>
      <c r="B420" s="433">
        <v>45107</v>
      </c>
      <c r="C420" s="328" t="s">
        <v>5416</v>
      </c>
      <c r="D420" s="263" t="s">
        <v>378</v>
      </c>
      <c r="E420" s="265" t="s">
        <v>379</v>
      </c>
      <c r="F420" s="262" t="s">
        <v>380</v>
      </c>
      <c r="G420" s="247" t="s">
        <v>5414</v>
      </c>
      <c r="H420" s="316">
        <v>130876000</v>
      </c>
      <c r="I420" s="317">
        <v>9161320</v>
      </c>
      <c r="J420" s="527">
        <f>(H420-I420)/1.11</f>
        <v>109652864.86486486</v>
      </c>
      <c r="K420" s="527">
        <f>J420*11%</f>
        <v>12061815.135135135</v>
      </c>
      <c r="L420" s="336">
        <f t="shared" si="141"/>
        <v>121714679.99999999</v>
      </c>
      <c r="M420" s="316">
        <f t="shared" si="142"/>
        <v>121714680</v>
      </c>
    </row>
    <row r="421" spans="1:16" s="248" customFormat="1" x14ac:dyDescent="0.25">
      <c r="A421" s="264">
        <v>45127</v>
      </c>
      <c r="B421" s="433">
        <v>45125</v>
      </c>
      <c r="C421" s="328" t="s">
        <v>5539</v>
      </c>
      <c r="D421" s="263" t="s">
        <v>298</v>
      </c>
      <c r="E421" s="265" t="s">
        <v>374</v>
      </c>
      <c r="F421" s="262" t="s">
        <v>375</v>
      </c>
      <c r="G421" s="247" t="s">
        <v>5815</v>
      </c>
      <c r="H421" s="316">
        <v>28440000</v>
      </c>
      <c r="I421" s="317">
        <v>0</v>
      </c>
      <c r="J421" s="527">
        <v>25621200</v>
      </c>
      <c r="K421" s="527">
        <v>2818332</v>
      </c>
      <c r="L421" s="336">
        <f t="shared" si="141"/>
        <v>28439532</v>
      </c>
      <c r="M421" s="316">
        <f t="shared" si="142"/>
        <v>28440000</v>
      </c>
    </row>
    <row r="422" spans="1:16" s="248" customFormat="1" x14ac:dyDescent="0.25">
      <c r="A422" s="264">
        <v>45114</v>
      </c>
      <c r="B422" s="433">
        <v>45112</v>
      </c>
      <c r="C422" s="328" t="s">
        <v>5395</v>
      </c>
      <c r="D422" s="524" t="s">
        <v>302</v>
      </c>
      <c r="E422" s="523" t="s">
        <v>370</v>
      </c>
      <c r="F422" s="522" t="s">
        <v>371</v>
      </c>
      <c r="G422" s="247" t="s">
        <v>5494</v>
      </c>
      <c r="H422" s="316">
        <f>7950972.684*1.11</f>
        <v>8825579.6792400014</v>
      </c>
      <c r="I422" s="317">
        <f>238529.18052*1.11</f>
        <v>264767.39037720003</v>
      </c>
      <c r="J422" s="527">
        <v>7712442</v>
      </c>
      <c r="K422" s="527">
        <v>848368</v>
      </c>
      <c r="L422" s="336">
        <f t="shared" si="141"/>
        <v>8560810</v>
      </c>
      <c r="M422" s="316">
        <f t="shared" si="142"/>
        <v>8560812.2888628021</v>
      </c>
      <c r="P422" s="758"/>
    </row>
    <row r="423" spans="1:16" s="248" customFormat="1" x14ac:dyDescent="0.25">
      <c r="A423" s="264">
        <v>45124</v>
      </c>
      <c r="B423" s="433">
        <v>45120</v>
      </c>
      <c r="C423" s="328" t="s">
        <v>5513</v>
      </c>
      <c r="D423" s="524" t="s">
        <v>302</v>
      </c>
      <c r="E423" s="523" t="s">
        <v>370</v>
      </c>
      <c r="F423" s="522" t="s">
        <v>371</v>
      </c>
      <c r="G423" s="247" t="s">
        <v>5512</v>
      </c>
      <c r="H423" s="316">
        <f>3077472.42*1.11</f>
        <v>3415994.3862000001</v>
      </c>
      <c r="I423" s="317">
        <f>91310.81*1.11</f>
        <v>101354.9991</v>
      </c>
      <c r="J423" s="527">
        <v>2984715</v>
      </c>
      <c r="K423" s="527">
        <v>328318</v>
      </c>
      <c r="L423" s="336">
        <f t="shared" ref="L423:L424" si="143">SUM(J423:K423)</f>
        <v>3313033</v>
      </c>
      <c r="M423" s="316">
        <f t="shared" ref="M423:M424" si="144">H423-I423</f>
        <v>3314639.3870999999</v>
      </c>
      <c r="P423" s="758"/>
    </row>
    <row r="424" spans="1:16" s="248" customFormat="1" x14ac:dyDescent="0.25">
      <c r="A424" s="264">
        <v>45124</v>
      </c>
      <c r="B424" s="433">
        <v>45120</v>
      </c>
      <c r="C424" s="328" t="s">
        <v>5515</v>
      </c>
      <c r="D424" s="524" t="s">
        <v>302</v>
      </c>
      <c r="E424" s="523" t="s">
        <v>370</v>
      </c>
      <c r="F424" s="522" t="s">
        <v>371</v>
      </c>
      <c r="G424" s="247" t="s">
        <v>5514</v>
      </c>
      <c r="H424" s="316">
        <f>4364027*1.11</f>
        <v>4844069.9700000007</v>
      </c>
      <c r="I424" s="317">
        <f>38351.35*1.11</f>
        <v>42569.998500000002</v>
      </c>
      <c r="J424" s="527">
        <v>4325673</v>
      </c>
      <c r="K424" s="527">
        <v>475824</v>
      </c>
      <c r="L424" s="336">
        <f t="shared" si="143"/>
        <v>4801497</v>
      </c>
      <c r="M424" s="316">
        <f t="shared" si="144"/>
        <v>4801499.9715000009</v>
      </c>
      <c r="P424" s="758"/>
    </row>
    <row r="425" spans="1:16" s="248" customFormat="1" x14ac:dyDescent="0.25">
      <c r="A425" s="264">
        <v>45124</v>
      </c>
      <c r="B425" s="433">
        <v>45121</v>
      </c>
      <c r="C425" s="328" t="s">
        <v>5540</v>
      </c>
      <c r="D425" s="263" t="s">
        <v>303</v>
      </c>
      <c r="E425" s="265" t="s">
        <v>373</v>
      </c>
      <c r="F425" s="262" t="s">
        <v>4317</v>
      </c>
      <c r="G425" s="247" t="s">
        <v>5542</v>
      </c>
      <c r="H425" s="316">
        <v>28000000</v>
      </c>
      <c r="I425" s="317">
        <v>2800000</v>
      </c>
      <c r="J425" s="527">
        <v>22702720</v>
      </c>
      <c r="K425" s="527">
        <v>2497299</v>
      </c>
      <c r="L425" s="336">
        <f t="shared" ref="L425:L451" si="145">SUM(J425:K425)</f>
        <v>25200019</v>
      </c>
      <c r="M425" s="316">
        <f t="shared" ref="M425:M452" si="146">H425-I425</f>
        <v>25200000</v>
      </c>
    </row>
    <row r="426" spans="1:16" s="248" customFormat="1" x14ac:dyDescent="0.25">
      <c r="A426" s="264">
        <v>45112</v>
      </c>
      <c r="B426" s="433">
        <v>45108</v>
      </c>
      <c r="C426" s="328" t="s">
        <v>5380</v>
      </c>
      <c r="D426" s="263" t="s">
        <v>376</v>
      </c>
      <c r="E426" s="265" t="s">
        <v>377</v>
      </c>
      <c r="F426" s="262" t="s">
        <v>4316</v>
      </c>
      <c r="G426" s="247" t="s">
        <v>5495</v>
      </c>
      <c r="H426" s="316">
        <v>61653600</v>
      </c>
      <c r="I426" s="317">
        <v>10481112</v>
      </c>
      <c r="J426" s="527">
        <v>46101340</v>
      </c>
      <c r="K426" s="527">
        <v>5071147</v>
      </c>
      <c r="L426" s="336">
        <f t="shared" si="145"/>
        <v>51172487</v>
      </c>
      <c r="M426" s="316">
        <f t="shared" si="146"/>
        <v>51172488</v>
      </c>
    </row>
    <row r="427" spans="1:16" s="248" customFormat="1" x14ac:dyDescent="0.25">
      <c r="A427" s="264">
        <v>45112</v>
      </c>
      <c r="B427" s="433">
        <v>45110</v>
      </c>
      <c r="C427" s="328" t="s">
        <v>5381</v>
      </c>
      <c r="D427" s="263" t="s">
        <v>376</v>
      </c>
      <c r="E427" s="265" t="s">
        <v>377</v>
      </c>
      <c r="F427" s="262" t="s">
        <v>4316</v>
      </c>
      <c r="G427" s="247" t="s">
        <v>5496</v>
      </c>
      <c r="H427" s="316">
        <v>25830000</v>
      </c>
      <c r="I427" s="317">
        <v>4391100</v>
      </c>
      <c r="J427" s="527">
        <v>19314324</v>
      </c>
      <c r="K427" s="527">
        <v>2124575</v>
      </c>
      <c r="L427" s="336">
        <f t="shared" si="145"/>
        <v>21438899</v>
      </c>
      <c r="M427" s="316">
        <f t="shared" si="146"/>
        <v>21438900</v>
      </c>
    </row>
    <row r="428" spans="1:16" s="248" customFormat="1" x14ac:dyDescent="0.25">
      <c r="A428" s="264">
        <v>45114</v>
      </c>
      <c r="B428" s="433">
        <v>45112</v>
      </c>
      <c r="C428" s="328" t="s">
        <v>5382</v>
      </c>
      <c r="D428" s="263" t="s">
        <v>376</v>
      </c>
      <c r="E428" s="265" t="s">
        <v>377</v>
      </c>
      <c r="F428" s="262" t="s">
        <v>4316</v>
      </c>
      <c r="G428" s="247" t="s">
        <v>5497</v>
      </c>
      <c r="H428" s="316">
        <v>11333600</v>
      </c>
      <c r="I428" s="317">
        <v>1926712</v>
      </c>
      <c r="J428" s="527">
        <v>8474673</v>
      </c>
      <c r="K428" s="527">
        <v>932214</v>
      </c>
      <c r="L428" s="336">
        <f t="shared" si="145"/>
        <v>9406887</v>
      </c>
      <c r="M428" s="316">
        <f t="shared" si="146"/>
        <v>9406888</v>
      </c>
    </row>
    <row r="429" spans="1:16" s="248" customFormat="1" x14ac:dyDescent="0.25">
      <c r="A429" s="264">
        <v>45114</v>
      </c>
      <c r="B429" s="433">
        <v>45112</v>
      </c>
      <c r="C429" s="328" t="s">
        <v>5383</v>
      </c>
      <c r="D429" s="263" t="s">
        <v>376</v>
      </c>
      <c r="E429" s="265" t="s">
        <v>377</v>
      </c>
      <c r="F429" s="262" t="s">
        <v>4316</v>
      </c>
      <c r="G429" s="247" t="s">
        <v>5498</v>
      </c>
      <c r="H429" s="316">
        <v>63645600</v>
      </c>
      <c r="I429" s="317">
        <v>10819752</v>
      </c>
      <c r="J429" s="527">
        <v>47590854</v>
      </c>
      <c r="K429" s="527">
        <v>5234993</v>
      </c>
      <c r="L429" s="336">
        <f t="shared" si="145"/>
        <v>52825847</v>
      </c>
      <c r="M429" s="316">
        <f t="shared" si="146"/>
        <v>52825848</v>
      </c>
    </row>
    <row r="430" spans="1:16" s="248" customFormat="1" x14ac:dyDescent="0.25">
      <c r="A430" s="264">
        <v>45114</v>
      </c>
      <c r="B430" s="433">
        <v>45112</v>
      </c>
      <c r="C430" s="328" t="s">
        <v>5384</v>
      </c>
      <c r="D430" s="263" t="s">
        <v>376</v>
      </c>
      <c r="E430" s="265" t="s">
        <v>377</v>
      </c>
      <c r="F430" s="262" t="s">
        <v>4316</v>
      </c>
      <c r="G430" s="247" t="s">
        <v>5499</v>
      </c>
      <c r="H430" s="316">
        <v>53961600</v>
      </c>
      <c r="I430" s="317">
        <v>9173472</v>
      </c>
      <c r="J430" s="527">
        <v>40349664</v>
      </c>
      <c r="K430" s="527">
        <v>4438463</v>
      </c>
      <c r="L430" s="336">
        <f t="shared" si="145"/>
        <v>44788127</v>
      </c>
      <c r="M430" s="316">
        <f t="shared" si="146"/>
        <v>44788128</v>
      </c>
    </row>
    <row r="431" spans="1:16" s="248" customFormat="1" x14ac:dyDescent="0.25">
      <c r="A431" s="264">
        <v>45115</v>
      </c>
      <c r="B431" s="433">
        <v>45113</v>
      </c>
      <c r="C431" s="328" t="s">
        <v>5385</v>
      </c>
      <c r="D431" s="263" t="s">
        <v>376</v>
      </c>
      <c r="E431" s="265" t="s">
        <v>377</v>
      </c>
      <c r="F431" s="262" t="s">
        <v>4316</v>
      </c>
      <c r="G431" s="247" t="s">
        <v>5500</v>
      </c>
      <c r="H431" s="316">
        <v>106108000</v>
      </c>
      <c r="I431" s="317">
        <v>18038360</v>
      </c>
      <c r="J431" s="527">
        <v>79342018</v>
      </c>
      <c r="K431" s="527">
        <v>8727621</v>
      </c>
      <c r="L431" s="336">
        <f t="shared" si="145"/>
        <v>88069639</v>
      </c>
      <c r="M431" s="316">
        <f t="shared" si="146"/>
        <v>88069640</v>
      </c>
    </row>
    <row r="432" spans="1:16" s="248" customFormat="1" x14ac:dyDescent="0.25">
      <c r="A432" s="264">
        <v>45115</v>
      </c>
      <c r="B432" s="433">
        <v>45113</v>
      </c>
      <c r="C432" s="328" t="s">
        <v>5386</v>
      </c>
      <c r="D432" s="263" t="s">
        <v>376</v>
      </c>
      <c r="E432" s="265" t="s">
        <v>377</v>
      </c>
      <c r="F432" s="262" t="s">
        <v>4316</v>
      </c>
      <c r="G432" s="247" t="s">
        <v>5501</v>
      </c>
      <c r="H432" s="316">
        <v>35006400</v>
      </c>
      <c r="I432" s="317">
        <v>5951088</v>
      </c>
      <c r="J432" s="527">
        <v>26175956</v>
      </c>
      <c r="K432" s="527">
        <v>2879355</v>
      </c>
      <c r="L432" s="336">
        <f t="shared" si="145"/>
        <v>29055311</v>
      </c>
      <c r="M432" s="316">
        <f t="shared" si="146"/>
        <v>29055312</v>
      </c>
    </row>
    <row r="433" spans="1:13" s="248" customFormat="1" x14ac:dyDescent="0.25">
      <c r="A433" s="264">
        <v>45117</v>
      </c>
      <c r="B433" s="433">
        <v>45114</v>
      </c>
      <c r="C433" s="328" t="s">
        <v>5403</v>
      </c>
      <c r="D433" s="263" t="s">
        <v>376</v>
      </c>
      <c r="E433" s="265" t="s">
        <v>377</v>
      </c>
      <c r="F433" s="262" t="s">
        <v>4316</v>
      </c>
      <c r="G433" s="247" t="s">
        <v>5502</v>
      </c>
      <c r="H433" s="316">
        <v>60206400</v>
      </c>
      <c r="I433" s="317">
        <v>10235088</v>
      </c>
      <c r="J433" s="527">
        <v>45019200</v>
      </c>
      <c r="K433" s="527">
        <v>4952112</v>
      </c>
      <c r="L433" s="336">
        <f t="shared" si="145"/>
        <v>49971312</v>
      </c>
      <c r="M433" s="316">
        <f t="shared" si="146"/>
        <v>49971312</v>
      </c>
    </row>
    <row r="434" spans="1:13" s="248" customFormat="1" x14ac:dyDescent="0.25">
      <c r="A434" s="264">
        <v>45117</v>
      </c>
      <c r="B434" s="433">
        <v>45115</v>
      </c>
      <c r="C434" s="328" t="s">
        <v>5404</v>
      </c>
      <c r="D434" s="263" t="s">
        <v>376</v>
      </c>
      <c r="E434" s="265" t="s">
        <v>377</v>
      </c>
      <c r="F434" s="262" t="s">
        <v>4316</v>
      </c>
      <c r="G434" s="247" t="s">
        <v>5503</v>
      </c>
      <c r="H434" s="316">
        <v>27216000</v>
      </c>
      <c r="I434" s="317">
        <v>4626720</v>
      </c>
      <c r="J434" s="527">
        <v>20350702</v>
      </c>
      <c r="K434" s="527">
        <v>2238577</v>
      </c>
      <c r="L434" s="336">
        <f t="shared" si="145"/>
        <v>22589279</v>
      </c>
      <c r="M434" s="316">
        <f t="shared" si="146"/>
        <v>22589280</v>
      </c>
    </row>
    <row r="435" spans="1:13" s="248" customFormat="1" x14ac:dyDescent="0.25">
      <c r="A435" s="264">
        <v>45119</v>
      </c>
      <c r="B435" s="433">
        <v>45117</v>
      </c>
      <c r="C435" s="328" t="s">
        <v>5405</v>
      </c>
      <c r="D435" s="263" t="s">
        <v>376</v>
      </c>
      <c r="E435" s="265" t="s">
        <v>377</v>
      </c>
      <c r="F435" s="262" t="s">
        <v>4316</v>
      </c>
      <c r="G435" s="247" t="s">
        <v>5504</v>
      </c>
      <c r="H435" s="316">
        <v>46780400</v>
      </c>
      <c r="I435" s="317">
        <v>7952668</v>
      </c>
      <c r="J435" s="527">
        <v>34979938</v>
      </c>
      <c r="K435" s="527">
        <v>3847793</v>
      </c>
      <c r="L435" s="336">
        <f t="shared" si="145"/>
        <v>38827731</v>
      </c>
      <c r="M435" s="316">
        <f t="shared" si="146"/>
        <v>38827732</v>
      </c>
    </row>
    <row r="436" spans="1:13" s="248" customFormat="1" x14ac:dyDescent="0.25">
      <c r="A436" s="264">
        <v>45119</v>
      </c>
      <c r="B436" s="433">
        <v>45118</v>
      </c>
      <c r="C436" s="328" t="s">
        <v>5406</v>
      </c>
      <c r="D436" s="263" t="s">
        <v>376</v>
      </c>
      <c r="E436" s="265" t="s">
        <v>377</v>
      </c>
      <c r="F436" s="262" t="s">
        <v>4316</v>
      </c>
      <c r="G436" s="247" t="s">
        <v>5505</v>
      </c>
      <c r="H436" s="316">
        <v>35096400</v>
      </c>
      <c r="I436" s="317">
        <v>5966388</v>
      </c>
      <c r="J436" s="527">
        <v>26243254</v>
      </c>
      <c r="K436" s="527">
        <v>2886757</v>
      </c>
      <c r="L436" s="336">
        <f t="shared" si="145"/>
        <v>29130011</v>
      </c>
      <c r="M436" s="316">
        <f t="shared" si="146"/>
        <v>29130012</v>
      </c>
    </row>
    <row r="437" spans="1:13" s="248" customFormat="1" x14ac:dyDescent="0.25">
      <c r="A437" s="264">
        <v>45121</v>
      </c>
      <c r="B437" s="433">
        <v>45119</v>
      </c>
      <c r="C437" s="328" t="s">
        <v>5516</v>
      </c>
      <c r="D437" s="263" t="s">
        <v>376</v>
      </c>
      <c r="E437" s="265" t="s">
        <v>377</v>
      </c>
      <c r="F437" s="262" t="s">
        <v>4316</v>
      </c>
      <c r="G437" s="247" t="s">
        <v>5506</v>
      </c>
      <c r="H437" s="316">
        <v>33285600</v>
      </c>
      <c r="I437" s="317">
        <v>5658552</v>
      </c>
      <c r="J437" s="527">
        <v>24889232</v>
      </c>
      <c r="K437" s="527">
        <v>2737815</v>
      </c>
      <c r="L437" s="336">
        <f t="shared" si="145"/>
        <v>27627047</v>
      </c>
      <c r="M437" s="316">
        <f t="shared" si="146"/>
        <v>27627048</v>
      </c>
    </row>
    <row r="438" spans="1:13" s="248" customFormat="1" x14ac:dyDescent="0.25">
      <c r="A438" s="264">
        <v>45121</v>
      </c>
      <c r="B438" s="433">
        <v>45120</v>
      </c>
      <c r="C438" s="328" t="s">
        <v>5517</v>
      </c>
      <c r="D438" s="263" t="s">
        <v>376</v>
      </c>
      <c r="E438" s="265" t="s">
        <v>377</v>
      </c>
      <c r="F438" s="262" t="s">
        <v>4316</v>
      </c>
      <c r="G438" s="247" t="s">
        <v>5507</v>
      </c>
      <c r="H438" s="316">
        <v>26742000</v>
      </c>
      <c r="I438" s="317">
        <v>4546140</v>
      </c>
      <c r="J438" s="527">
        <v>19996270</v>
      </c>
      <c r="K438" s="527">
        <v>2199589</v>
      </c>
      <c r="L438" s="336">
        <f t="shared" si="145"/>
        <v>22195859</v>
      </c>
      <c r="M438" s="316">
        <f t="shared" si="146"/>
        <v>22195860</v>
      </c>
    </row>
    <row r="439" spans="1:13" s="248" customFormat="1" x14ac:dyDescent="0.25">
      <c r="A439" s="264">
        <v>45121</v>
      </c>
      <c r="B439" s="433">
        <v>45120</v>
      </c>
      <c r="C439" s="328" t="s">
        <v>5518</v>
      </c>
      <c r="D439" s="263" t="s">
        <v>376</v>
      </c>
      <c r="E439" s="265" t="s">
        <v>377</v>
      </c>
      <c r="F439" s="262" t="s">
        <v>4316</v>
      </c>
      <c r="G439" s="247" t="s">
        <v>5508</v>
      </c>
      <c r="H439" s="316">
        <v>32127200</v>
      </c>
      <c r="I439" s="317">
        <v>5461624</v>
      </c>
      <c r="J439" s="527">
        <v>24023041</v>
      </c>
      <c r="K439" s="527">
        <v>2642534</v>
      </c>
      <c r="L439" s="336">
        <f t="shared" si="145"/>
        <v>26665575</v>
      </c>
      <c r="M439" s="316">
        <f t="shared" si="146"/>
        <v>26665576</v>
      </c>
    </row>
    <row r="440" spans="1:13" s="248" customFormat="1" x14ac:dyDescent="0.25">
      <c r="A440" s="264">
        <v>45124</v>
      </c>
      <c r="B440" s="433">
        <v>45121</v>
      </c>
      <c r="C440" s="328" t="s">
        <v>5519</v>
      </c>
      <c r="D440" s="263" t="s">
        <v>376</v>
      </c>
      <c r="E440" s="265" t="s">
        <v>377</v>
      </c>
      <c r="F440" s="262" t="s">
        <v>4316</v>
      </c>
      <c r="G440" s="247" t="s">
        <v>5509</v>
      </c>
      <c r="H440" s="316">
        <v>33846000</v>
      </c>
      <c r="I440" s="317">
        <v>5753820</v>
      </c>
      <c r="J440" s="527">
        <v>25308270</v>
      </c>
      <c r="K440" s="527">
        <v>2783909</v>
      </c>
      <c r="L440" s="336">
        <f t="shared" si="145"/>
        <v>28092179</v>
      </c>
      <c r="M440" s="316">
        <f t="shared" si="146"/>
        <v>28092180</v>
      </c>
    </row>
    <row r="441" spans="1:13" s="248" customFormat="1" x14ac:dyDescent="0.25">
      <c r="A441" s="264">
        <v>45125</v>
      </c>
      <c r="B441" s="433">
        <v>45122</v>
      </c>
      <c r="C441" s="328" t="s">
        <v>5520</v>
      </c>
      <c r="D441" s="263" t="s">
        <v>376</v>
      </c>
      <c r="E441" s="265" t="s">
        <v>377</v>
      </c>
      <c r="F441" s="262" t="s">
        <v>4316</v>
      </c>
      <c r="G441" s="247" t="s">
        <v>5510</v>
      </c>
      <c r="H441" s="316">
        <v>9324000</v>
      </c>
      <c r="I441" s="317">
        <v>1585080</v>
      </c>
      <c r="J441" s="527">
        <v>6972000</v>
      </c>
      <c r="K441" s="527">
        <v>766920</v>
      </c>
      <c r="L441" s="336">
        <f t="shared" si="145"/>
        <v>7738920</v>
      </c>
      <c r="M441" s="316">
        <f t="shared" si="146"/>
        <v>7738920</v>
      </c>
    </row>
    <row r="442" spans="1:13" s="248" customFormat="1" x14ac:dyDescent="0.25">
      <c r="A442" s="264">
        <v>45125</v>
      </c>
      <c r="B442" s="433">
        <v>45124</v>
      </c>
      <c r="C442" s="328" t="s">
        <v>5521</v>
      </c>
      <c r="D442" s="263" t="s">
        <v>376</v>
      </c>
      <c r="E442" s="265" t="s">
        <v>377</v>
      </c>
      <c r="F442" s="262" t="s">
        <v>4316</v>
      </c>
      <c r="G442" s="247" t="s">
        <v>5511</v>
      </c>
      <c r="H442" s="316">
        <v>20867600</v>
      </c>
      <c r="I442" s="317">
        <v>3547492</v>
      </c>
      <c r="J442" s="527">
        <v>15603700</v>
      </c>
      <c r="K442" s="527">
        <v>1716407</v>
      </c>
      <c r="L442" s="336">
        <f t="shared" si="145"/>
        <v>17320107</v>
      </c>
      <c r="M442" s="316">
        <f t="shared" si="146"/>
        <v>17320108</v>
      </c>
    </row>
    <row r="443" spans="1:13" s="248" customFormat="1" x14ac:dyDescent="0.25">
      <c r="A443" s="264">
        <v>45129</v>
      </c>
      <c r="B443" s="433">
        <v>45127</v>
      </c>
      <c r="C443" s="328" t="s">
        <v>5522</v>
      </c>
      <c r="D443" s="263" t="s">
        <v>376</v>
      </c>
      <c r="E443" s="265" t="s">
        <v>377</v>
      </c>
      <c r="F443" s="262" t="s">
        <v>4316</v>
      </c>
      <c r="G443" s="247" t="s">
        <v>5543</v>
      </c>
      <c r="H443" s="316">
        <v>54686800</v>
      </c>
      <c r="I443" s="317">
        <v>9296756</v>
      </c>
      <c r="J443" s="527">
        <v>40891931</v>
      </c>
      <c r="K443" s="527">
        <v>4498112</v>
      </c>
      <c r="L443" s="336">
        <f t="shared" si="145"/>
        <v>45390043</v>
      </c>
      <c r="M443" s="316">
        <f t="shared" si="146"/>
        <v>45390044</v>
      </c>
    </row>
    <row r="444" spans="1:13" s="248" customFormat="1" x14ac:dyDescent="0.25">
      <c r="A444" s="264">
        <v>45129</v>
      </c>
      <c r="B444" s="433">
        <v>45127</v>
      </c>
      <c r="C444" s="328" t="s">
        <v>5523</v>
      </c>
      <c r="D444" s="263" t="s">
        <v>376</v>
      </c>
      <c r="E444" s="265" t="s">
        <v>377</v>
      </c>
      <c r="F444" s="262" t="s">
        <v>4316</v>
      </c>
      <c r="G444" s="247" t="s">
        <v>5544</v>
      </c>
      <c r="H444" s="316">
        <v>128782800</v>
      </c>
      <c r="I444" s="317">
        <v>21893076</v>
      </c>
      <c r="J444" s="527">
        <v>96297048</v>
      </c>
      <c r="K444" s="527">
        <v>10592675</v>
      </c>
      <c r="L444" s="336">
        <f t="shared" si="145"/>
        <v>106889723</v>
      </c>
      <c r="M444" s="316">
        <f t="shared" si="146"/>
        <v>106889724</v>
      </c>
    </row>
    <row r="445" spans="1:13" s="248" customFormat="1" x14ac:dyDescent="0.25">
      <c r="A445" s="264">
        <v>45131</v>
      </c>
      <c r="B445" s="433">
        <v>45128</v>
      </c>
      <c r="C445" s="328" t="s">
        <v>5568</v>
      </c>
      <c r="D445" s="263" t="s">
        <v>376</v>
      </c>
      <c r="E445" s="265" t="s">
        <v>377</v>
      </c>
      <c r="F445" s="262" t="s">
        <v>4316</v>
      </c>
      <c r="G445" s="247" t="s">
        <v>5545</v>
      </c>
      <c r="H445" s="316">
        <v>101024400</v>
      </c>
      <c r="I445" s="317">
        <v>17174148</v>
      </c>
      <c r="J445" s="527">
        <v>75540767</v>
      </c>
      <c r="K445" s="527">
        <v>8309484</v>
      </c>
      <c r="L445" s="336">
        <f t="shared" si="145"/>
        <v>83850251</v>
      </c>
      <c r="M445" s="316">
        <f t="shared" si="146"/>
        <v>83850252</v>
      </c>
    </row>
    <row r="446" spans="1:13" s="248" customFormat="1" x14ac:dyDescent="0.25">
      <c r="A446" s="264">
        <v>45131</v>
      </c>
      <c r="B446" s="433">
        <v>45129</v>
      </c>
      <c r="C446" s="328" t="s">
        <v>5569</v>
      </c>
      <c r="D446" s="263" t="s">
        <v>376</v>
      </c>
      <c r="E446" s="265" t="s">
        <v>377</v>
      </c>
      <c r="F446" s="262" t="s">
        <v>4316</v>
      </c>
      <c r="G446" s="247" t="s">
        <v>5546</v>
      </c>
      <c r="H446" s="316">
        <v>58502800</v>
      </c>
      <c r="I446" s="317">
        <v>9945476</v>
      </c>
      <c r="J446" s="527">
        <v>43745336</v>
      </c>
      <c r="K446" s="527">
        <v>4811987</v>
      </c>
      <c r="L446" s="336">
        <f t="shared" si="145"/>
        <v>48557323</v>
      </c>
      <c r="M446" s="316">
        <f t="shared" si="146"/>
        <v>48557324</v>
      </c>
    </row>
    <row r="447" spans="1:13" s="248" customFormat="1" x14ac:dyDescent="0.25">
      <c r="A447" s="264">
        <v>45131</v>
      </c>
      <c r="B447" s="433">
        <v>45129</v>
      </c>
      <c r="C447" s="328" t="s">
        <v>5570</v>
      </c>
      <c r="D447" s="263" t="s">
        <v>376</v>
      </c>
      <c r="E447" s="265" t="s">
        <v>377</v>
      </c>
      <c r="F447" s="262" t="s">
        <v>4316</v>
      </c>
      <c r="G447" s="247" t="s">
        <v>5547</v>
      </c>
      <c r="H447" s="316">
        <v>41065200</v>
      </c>
      <c r="I447" s="317">
        <v>6981084</v>
      </c>
      <c r="J447" s="527">
        <f>(H447-I447)/1.11</f>
        <v>30706410.810810808</v>
      </c>
      <c r="K447" s="527">
        <f>J447*11%</f>
        <v>3377705.1891891891</v>
      </c>
      <c r="L447" s="336">
        <f t="shared" si="145"/>
        <v>34084116</v>
      </c>
      <c r="M447" s="316">
        <f t="shared" si="146"/>
        <v>34084116</v>
      </c>
    </row>
    <row r="448" spans="1:13" s="248" customFormat="1" x14ac:dyDescent="0.25">
      <c r="A448" s="264">
        <v>45134</v>
      </c>
      <c r="B448" s="433">
        <v>45131</v>
      </c>
      <c r="C448" s="328" t="s">
        <v>5571</v>
      </c>
      <c r="D448" s="263" t="s">
        <v>376</v>
      </c>
      <c r="E448" s="265" t="s">
        <v>377</v>
      </c>
      <c r="F448" s="262" t="s">
        <v>4316</v>
      </c>
      <c r="G448" s="247" t="s">
        <v>5589</v>
      </c>
      <c r="H448" s="316">
        <v>38613600</v>
      </c>
      <c r="I448" s="317">
        <v>6564312</v>
      </c>
      <c r="J448" s="527">
        <v>28873232</v>
      </c>
      <c r="K448" s="527">
        <v>3176055</v>
      </c>
      <c r="L448" s="336">
        <f t="shared" si="145"/>
        <v>32049287</v>
      </c>
      <c r="M448" s="316">
        <f t="shared" si="146"/>
        <v>32049288</v>
      </c>
    </row>
    <row r="449" spans="1:16" s="248" customFormat="1" x14ac:dyDescent="0.25">
      <c r="A449" s="264">
        <v>45134</v>
      </c>
      <c r="B449" s="433">
        <v>45133</v>
      </c>
      <c r="C449" s="328" t="s">
        <v>5572</v>
      </c>
      <c r="D449" s="263" t="s">
        <v>376</v>
      </c>
      <c r="E449" s="265" t="s">
        <v>377</v>
      </c>
      <c r="F449" s="262" t="s">
        <v>4316</v>
      </c>
      <c r="G449" s="247" t="s">
        <v>5590</v>
      </c>
      <c r="H449" s="316">
        <v>44102400</v>
      </c>
      <c r="I449" s="317">
        <v>7497408</v>
      </c>
      <c r="J449" s="527">
        <v>32977470</v>
      </c>
      <c r="K449" s="527">
        <v>3627521</v>
      </c>
      <c r="L449" s="336">
        <f t="shared" si="145"/>
        <v>36604991</v>
      </c>
      <c r="M449" s="316">
        <f t="shared" si="146"/>
        <v>36604992</v>
      </c>
    </row>
    <row r="450" spans="1:16" s="248" customFormat="1" x14ac:dyDescent="0.25">
      <c r="A450" s="264">
        <v>45134</v>
      </c>
      <c r="B450" s="433">
        <v>45133</v>
      </c>
      <c r="C450" s="328" t="s">
        <v>5573</v>
      </c>
      <c r="D450" s="263" t="s">
        <v>376</v>
      </c>
      <c r="E450" s="265" t="s">
        <v>377</v>
      </c>
      <c r="F450" s="262" t="s">
        <v>4316</v>
      </c>
      <c r="G450" s="247" t="s">
        <v>5591</v>
      </c>
      <c r="H450" s="316">
        <v>33696000</v>
      </c>
      <c r="I450" s="317">
        <v>5728320</v>
      </c>
      <c r="J450" s="527">
        <v>25196108</v>
      </c>
      <c r="K450" s="527">
        <v>2771571</v>
      </c>
      <c r="L450" s="336">
        <f t="shared" si="145"/>
        <v>27967679</v>
      </c>
      <c r="M450" s="316">
        <f t="shared" si="146"/>
        <v>27967680</v>
      </c>
    </row>
    <row r="451" spans="1:16" s="248" customFormat="1" x14ac:dyDescent="0.25">
      <c r="A451" s="264">
        <v>45135</v>
      </c>
      <c r="B451" s="433">
        <v>45134</v>
      </c>
      <c r="C451" s="328" t="s">
        <v>5596</v>
      </c>
      <c r="D451" s="263" t="s">
        <v>376</v>
      </c>
      <c r="E451" s="265" t="s">
        <v>377</v>
      </c>
      <c r="F451" s="262" t="s">
        <v>4316</v>
      </c>
      <c r="G451" s="247" t="s">
        <v>5592</v>
      </c>
      <c r="H451" s="316">
        <v>19548000</v>
      </c>
      <c r="I451" s="317">
        <v>3323160.0000000005</v>
      </c>
      <c r="J451" s="527">
        <v>14616972</v>
      </c>
      <c r="K451" s="527">
        <v>1607867</v>
      </c>
      <c r="L451" s="336">
        <f t="shared" si="145"/>
        <v>16224839</v>
      </c>
      <c r="M451" s="316">
        <f t="shared" si="146"/>
        <v>16224840</v>
      </c>
    </row>
    <row r="452" spans="1:16" s="248" customFormat="1" x14ac:dyDescent="0.25">
      <c r="A452" s="264">
        <v>45122</v>
      </c>
      <c r="B452" s="433">
        <v>45120</v>
      </c>
      <c r="C452" s="328" t="s">
        <v>5582</v>
      </c>
      <c r="D452" s="263" t="s">
        <v>5558</v>
      </c>
      <c r="E452" s="265" t="s">
        <v>5559</v>
      </c>
      <c r="F452" s="262" t="s">
        <v>5560</v>
      </c>
      <c r="G452" s="247" t="s">
        <v>5561</v>
      </c>
      <c r="H452" s="316">
        <v>10839015</v>
      </c>
      <c r="I452" s="317">
        <v>0</v>
      </c>
      <c r="J452" s="527">
        <v>9764878</v>
      </c>
      <c r="K452" s="527">
        <v>1074137</v>
      </c>
      <c r="L452" s="336">
        <f t="shared" ref="L452" si="147">SUM(J452:K452)</f>
        <v>10839015</v>
      </c>
      <c r="M452" s="316">
        <f t="shared" si="146"/>
        <v>10839015</v>
      </c>
    </row>
    <row r="453" spans="1:16" s="248" customFormat="1" x14ac:dyDescent="0.25">
      <c r="A453" s="264">
        <v>45127</v>
      </c>
      <c r="B453" s="433">
        <v>45124</v>
      </c>
      <c r="C453" s="328" t="s">
        <v>5586</v>
      </c>
      <c r="D453" s="263" t="s">
        <v>5558</v>
      </c>
      <c r="E453" s="265" t="s">
        <v>5559</v>
      </c>
      <c r="F453" s="262" t="s">
        <v>5560</v>
      </c>
      <c r="G453" s="247" t="s">
        <v>5585</v>
      </c>
      <c r="H453" s="316">
        <v>11015190</v>
      </c>
      <c r="I453" s="317">
        <v>0</v>
      </c>
      <c r="J453" s="527">
        <v>9923595</v>
      </c>
      <c r="K453" s="527">
        <v>1091595</v>
      </c>
      <c r="L453" s="336">
        <f t="shared" ref="L453:L454" si="148">SUM(J453:K453)</f>
        <v>11015190</v>
      </c>
      <c r="M453" s="316">
        <f t="shared" ref="M453:M454" si="149">H453-I453</f>
        <v>11015190</v>
      </c>
    </row>
    <row r="454" spans="1:16" s="248" customFormat="1" x14ac:dyDescent="0.25">
      <c r="A454" s="264">
        <v>45128</v>
      </c>
      <c r="B454" s="433">
        <v>45127</v>
      </c>
      <c r="C454" s="328" t="s">
        <v>5588</v>
      </c>
      <c r="D454" s="263" t="s">
        <v>5558</v>
      </c>
      <c r="E454" s="265" t="s">
        <v>5559</v>
      </c>
      <c r="F454" s="262" t="s">
        <v>5560</v>
      </c>
      <c r="G454" s="247" t="s">
        <v>5587</v>
      </c>
      <c r="H454" s="316">
        <v>10839015</v>
      </c>
      <c r="I454" s="317">
        <v>0</v>
      </c>
      <c r="J454" s="527">
        <v>9764878</v>
      </c>
      <c r="K454" s="527">
        <v>1074137</v>
      </c>
      <c r="L454" s="336">
        <f t="shared" si="148"/>
        <v>10839015</v>
      </c>
      <c r="M454" s="316">
        <f t="shared" si="149"/>
        <v>10839015</v>
      </c>
    </row>
    <row r="455" spans="1:16" s="248" customFormat="1" x14ac:dyDescent="0.25">
      <c r="A455" s="264">
        <v>45112</v>
      </c>
      <c r="B455" s="433">
        <v>45108</v>
      </c>
      <c r="C455" s="328" t="s">
        <v>5387</v>
      </c>
      <c r="D455" s="263" t="s">
        <v>297</v>
      </c>
      <c r="E455" s="265" t="s">
        <v>369</v>
      </c>
      <c r="F455" s="262" t="s">
        <v>395</v>
      </c>
      <c r="G455" s="247" t="s">
        <v>5816</v>
      </c>
      <c r="H455" s="316">
        <v>4596480</v>
      </c>
      <c r="I455" s="317">
        <v>0</v>
      </c>
      <c r="J455" s="527">
        <v>4140972</v>
      </c>
      <c r="K455" s="527">
        <v>455507</v>
      </c>
      <c r="L455" s="336">
        <f t="shared" ref="L455:L462" si="150">SUM(J455:K455)</f>
        <v>4596479</v>
      </c>
      <c r="M455" s="316">
        <f t="shared" ref="M455:M462" si="151">H455-I455</f>
        <v>4596480</v>
      </c>
    </row>
    <row r="456" spans="1:16" s="248" customFormat="1" x14ac:dyDescent="0.25">
      <c r="A456" s="264">
        <v>45112</v>
      </c>
      <c r="B456" s="433">
        <v>45110</v>
      </c>
      <c r="C456" s="328" t="s">
        <v>5388</v>
      </c>
      <c r="D456" s="263" t="s">
        <v>297</v>
      </c>
      <c r="E456" s="265" t="s">
        <v>369</v>
      </c>
      <c r="F456" s="262" t="s">
        <v>395</v>
      </c>
      <c r="G456" s="247" t="s">
        <v>5817</v>
      </c>
      <c r="H456" s="316">
        <v>14654044.5</v>
      </c>
      <c r="I456" s="317">
        <v>135432</v>
      </c>
      <c r="J456" s="527">
        <v>13079831</v>
      </c>
      <c r="K456" s="527">
        <v>1438781</v>
      </c>
      <c r="L456" s="336">
        <f t="shared" si="150"/>
        <v>14518612</v>
      </c>
      <c r="M456" s="316">
        <f t="shared" si="151"/>
        <v>14518612.5</v>
      </c>
    </row>
    <row r="457" spans="1:16" s="248" customFormat="1" x14ac:dyDescent="0.25">
      <c r="A457" s="264">
        <v>45115</v>
      </c>
      <c r="B457" s="433">
        <v>45111</v>
      </c>
      <c r="C457" s="328" t="s">
        <v>5389</v>
      </c>
      <c r="D457" s="263" t="s">
        <v>297</v>
      </c>
      <c r="E457" s="265" t="s">
        <v>369</v>
      </c>
      <c r="F457" s="262" t="s">
        <v>395</v>
      </c>
      <c r="G457" s="247" t="s">
        <v>5818</v>
      </c>
      <c r="H457" s="316">
        <v>27358100</v>
      </c>
      <c r="I457" s="317">
        <v>0</v>
      </c>
      <c r="J457" s="527">
        <v>24646936</v>
      </c>
      <c r="K457" s="527">
        <v>2711163</v>
      </c>
      <c r="L457" s="336">
        <f t="shared" si="150"/>
        <v>27358099</v>
      </c>
      <c r="M457" s="316">
        <f t="shared" si="151"/>
        <v>27358100</v>
      </c>
    </row>
    <row r="458" spans="1:16" s="248" customFormat="1" x14ac:dyDescent="0.25">
      <c r="A458" s="264">
        <v>45114</v>
      </c>
      <c r="B458" s="433">
        <v>45111</v>
      </c>
      <c r="C458" s="328" t="s">
        <v>5390</v>
      </c>
      <c r="D458" s="263" t="s">
        <v>297</v>
      </c>
      <c r="E458" s="265" t="s">
        <v>369</v>
      </c>
      <c r="F458" s="262" t="s">
        <v>395</v>
      </c>
      <c r="G458" s="247" t="s">
        <v>5819</v>
      </c>
      <c r="H458" s="316">
        <v>23185662</v>
      </c>
      <c r="I458" s="317">
        <v>135432</v>
      </c>
      <c r="J458" s="527">
        <v>20765972</v>
      </c>
      <c r="K458" s="527">
        <v>2284257</v>
      </c>
      <c r="L458" s="336">
        <f t="shared" si="150"/>
        <v>23050229</v>
      </c>
      <c r="M458" s="316">
        <f t="shared" si="151"/>
        <v>23050230</v>
      </c>
    </row>
    <row r="459" spans="1:16" s="248" customFormat="1" x14ac:dyDescent="0.25">
      <c r="A459" s="264">
        <v>45114</v>
      </c>
      <c r="B459" s="433">
        <v>45111</v>
      </c>
      <c r="C459" s="328" t="s">
        <v>5391</v>
      </c>
      <c r="D459" s="263" t="s">
        <v>297</v>
      </c>
      <c r="E459" s="265" t="s">
        <v>369</v>
      </c>
      <c r="F459" s="262" t="s">
        <v>395</v>
      </c>
      <c r="G459" s="247" t="s">
        <v>5820</v>
      </c>
      <c r="H459" s="316">
        <v>29989837.5</v>
      </c>
      <c r="I459" s="317">
        <v>0</v>
      </c>
      <c r="J459" s="527">
        <v>27017871</v>
      </c>
      <c r="K459" s="527">
        <v>2971965</v>
      </c>
      <c r="L459" s="336">
        <f t="shared" si="150"/>
        <v>29989836</v>
      </c>
      <c r="M459" s="316">
        <f t="shared" si="151"/>
        <v>29989837.5</v>
      </c>
    </row>
    <row r="460" spans="1:16" s="248" customFormat="1" x14ac:dyDescent="0.25">
      <c r="A460" s="264">
        <v>45115</v>
      </c>
      <c r="B460" s="433">
        <v>45112</v>
      </c>
      <c r="C460" s="328" t="s">
        <v>5392</v>
      </c>
      <c r="D460" s="263" t="s">
        <v>297</v>
      </c>
      <c r="E460" s="265" t="s">
        <v>369</v>
      </c>
      <c r="F460" s="262" t="s">
        <v>395</v>
      </c>
      <c r="G460" s="247" t="s">
        <v>5821</v>
      </c>
      <c r="H460" s="316">
        <v>44756205.25</v>
      </c>
      <c r="I460" s="317">
        <v>270864</v>
      </c>
      <c r="J460" s="527">
        <v>40076884</v>
      </c>
      <c r="K460" s="527">
        <v>4408457</v>
      </c>
      <c r="L460" s="336">
        <f t="shared" si="150"/>
        <v>44485341</v>
      </c>
      <c r="M460" s="316">
        <f t="shared" si="151"/>
        <v>44485341.25</v>
      </c>
    </row>
    <row r="461" spans="1:16" s="248" customFormat="1" x14ac:dyDescent="0.25">
      <c r="A461" s="264">
        <v>45115</v>
      </c>
      <c r="B461" s="433">
        <v>45112</v>
      </c>
      <c r="C461" s="328" t="s">
        <v>5393</v>
      </c>
      <c r="D461" s="263" t="s">
        <v>297</v>
      </c>
      <c r="E461" s="265" t="s">
        <v>369</v>
      </c>
      <c r="F461" s="262" t="s">
        <v>395</v>
      </c>
      <c r="G461" s="247" t="s">
        <v>5822</v>
      </c>
      <c r="H461" s="316">
        <v>20564460</v>
      </c>
      <c r="I461" s="317">
        <v>0</v>
      </c>
      <c r="J461" s="527">
        <v>18526540</v>
      </c>
      <c r="K461" s="527">
        <v>2037919</v>
      </c>
      <c r="L461" s="336">
        <f t="shared" si="150"/>
        <v>20564459</v>
      </c>
      <c r="M461" s="316">
        <f t="shared" si="151"/>
        <v>20564460</v>
      </c>
    </row>
    <row r="462" spans="1:16" s="248" customFormat="1" x14ac:dyDescent="0.25">
      <c r="A462" s="264">
        <v>45117</v>
      </c>
      <c r="B462" s="433">
        <v>45113</v>
      </c>
      <c r="C462" s="328" t="s">
        <v>5399</v>
      </c>
      <c r="D462" s="263" t="s">
        <v>297</v>
      </c>
      <c r="E462" s="265" t="s">
        <v>369</v>
      </c>
      <c r="F462" s="262" t="s">
        <v>395</v>
      </c>
      <c r="G462" s="247" t="s">
        <v>5823</v>
      </c>
      <c r="H462" s="316">
        <v>48827292.5</v>
      </c>
      <c r="I462" s="317">
        <v>0</v>
      </c>
      <c r="J462" s="527">
        <v>43988551</v>
      </c>
      <c r="K462" s="527">
        <v>4838740</v>
      </c>
      <c r="L462" s="336">
        <f t="shared" si="150"/>
        <v>48827291</v>
      </c>
      <c r="M462" s="316">
        <f t="shared" si="151"/>
        <v>48827292.5</v>
      </c>
      <c r="P462" s="758"/>
    </row>
    <row r="463" spans="1:16" s="248" customFormat="1" x14ac:dyDescent="0.25">
      <c r="A463" s="264">
        <v>45117</v>
      </c>
      <c r="B463" s="433">
        <v>45114</v>
      </c>
      <c r="C463" s="328" t="s">
        <v>5400</v>
      </c>
      <c r="D463" s="263" t="s">
        <v>297</v>
      </c>
      <c r="E463" s="523" t="s">
        <v>369</v>
      </c>
      <c r="F463" s="262" t="s">
        <v>395</v>
      </c>
      <c r="G463" s="247" t="s">
        <v>5824</v>
      </c>
      <c r="H463" s="316">
        <v>55419770</v>
      </c>
      <c r="I463" s="317">
        <v>0</v>
      </c>
      <c r="J463" s="527">
        <v>49927720</v>
      </c>
      <c r="K463" s="527">
        <v>5492049</v>
      </c>
      <c r="L463" s="336">
        <f t="shared" ref="L463:L465" si="152">SUM(J463:K463)</f>
        <v>55419769</v>
      </c>
      <c r="M463" s="316">
        <f t="shared" ref="M463:M465" si="153">H463-I463</f>
        <v>55419770</v>
      </c>
      <c r="P463" s="758"/>
    </row>
    <row r="464" spans="1:16" s="248" customFormat="1" x14ac:dyDescent="0.25">
      <c r="A464" s="264">
        <v>45117</v>
      </c>
      <c r="B464" s="433">
        <v>45114</v>
      </c>
      <c r="C464" s="328" t="s">
        <v>5401</v>
      </c>
      <c r="D464" s="263" t="s">
        <v>297</v>
      </c>
      <c r="E464" s="523" t="s">
        <v>369</v>
      </c>
      <c r="F464" s="262" t="s">
        <v>395</v>
      </c>
      <c r="G464" s="247" t="s">
        <v>5825</v>
      </c>
      <c r="H464" s="316">
        <v>40481875</v>
      </c>
      <c r="I464" s="317">
        <v>0</v>
      </c>
      <c r="J464" s="527">
        <v>36470157</v>
      </c>
      <c r="K464" s="527">
        <v>4011717</v>
      </c>
      <c r="L464" s="336">
        <f t="shared" si="152"/>
        <v>40481874</v>
      </c>
      <c r="M464" s="316">
        <f t="shared" si="153"/>
        <v>40481875</v>
      </c>
      <c r="O464" s="758"/>
      <c r="P464" s="758"/>
    </row>
    <row r="465" spans="1:16" s="248" customFormat="1" x14ac:dyDescent="0.25">
      <c r="A465" s="264">
        <v>45117</v>
      </c>
      <c r="B465" s="433">
        <v>45114</v>
      </c>
      <c r="C465" s="328" t="s">
        <v>5402</v>
      </c>
      <c r="D465" s="263" t="s">
        <v>297</v>
      </c>
      <c r="E465" s="523" t="s">
        <v>369</v>
      </c>
      <c r="F465" s="262" t="s">
        <v>395</v>
      </c>
      <c r="G465" s="247" t="s">
        <v>5826</v>
      </c>
      <c r="H465" s="316">
        <v>40797085</v>
      </c>
      <c r="I465" s="317">
        <v>0</v>
      </c>
      <c r="J465" s="527">
        <v>36754130</v>
      </c>
      <c r="K465" s="527">
        <v>4042954</v>
      </c>
      <c r="L465" s="336">
        <f t="shared" si="152"/>
        <v>40797084</v>
      </c>
      <c r="M465" s="316">
        <f t="shared" si="153"/>
        <v>40797085</v>
      </c>
      <c r="P465" s="758"/>
    </row>
    <row r="466" spans="1:16" s="248" customFormat="1" x14ac:dyDescent="0.25">
      <c r="A466" s="264">
        <v>45121</v>
      </c>
      <c r="B466" s="433">
        <v>45115</v>
      </c>
      <c r="C466" s="328" t="s">
        <v>5524</v>
      </c>
      <c r="D466" s="263" t="s">
        <v>297</v>
      </c>
      <c r="E466" s="523" t="s">
        <v>369</v>
      </c>
      <c r="F466" s="262" t="s">
        <v>395</v>
      </c>
      <c r="G466" s="247" t="s">
        <v>5827</v>
      </c>
      <c r="H466" s="316">
        <v>14930580</v>
      </c>
      <c r="I466" s="317">
        <v>0</v>
      </c>
      <c r="J466" s="527">
        <v>12979182</v>
      </c>
      <c r="K466" s="527">
        <v>1427710</v>
      </c>
      <c r="L466" s="336">
        <f t="shared" ref="L466:L480" si="154">SUM(J466:K466)</f>
        <v>14406892</v>
      </c>
      <c r="M466" s="316">
        <f t="shared" ref="M466:M480" si="155">H466-I466</f>
        <v>14930580</v>
      </c>
    </row>
    <row r="467" spans="1:16" s="248" customFormat="1" x14ac:dyDescent="0.25">
      <c r="A467" s="264">
        <v>45121</v>
      </c>
      <c r="B467" s="433">
        <v>45117</v>
      </c>
      <c r="C467" s="328" t="s">
        <v>5525</v>
      </c>
      <c r="D467" s="263" t="s">
        <v>297</v>
      </c>
      <c r="E467" s="523" t="s">
        <v>369</v>
      </c>
      <c r="F467" s="262" t="s">
        <v>395</v>
      </c>
      <c r="G467" s="247" t="s">
        <v>5828</v>
      </c>
      <c r="H467" s="316">
        <v>54064500</v>
      </c>
      <c r="I467" s="317">
        <v>0</v>
      </c>
      <c r="J467" s="527">
        <v>48706756</v>
      </c>
      <c r="K467" s="527">
        <v>5357743</v>
      </c>
      <c r="L467" s="336">
        <f t="shared" si="154"/>
        <v>54064499</v>
      </c>
      <c r="M467" s="316">
        <f t="shared" si="155"/>
        <v>54064500</v>
      </c>
    </row>
    <row r="468" spans="1:16" s="248" customFormat="1" x14ac:dyDescent="0.25">
      <c r="A468" s="264">
        <v>45121</v>
      </c>
      <c r="B468" s="433">
        <v>45117</v>
      </c>
      <c r="C468" s="328" t="s">
        <v>5526</v>
      </c>
      <c r="D468" s="263" t="s">
        <v>297</v>
      </c>
      <c r="E468" s="523" t="s">
        <v>369</v>
      </c>
      <c r="F468" s="262" t="s">
        <v>395</v>
      </c>
      <c r="G468" s="247" t="s">
        <v>5829</v>
      </c>
      <c r="H468" s="316">
        <v>12658275</v>
      </c>
      <c r="I468" s="317">
        <v>0</v>
      </c>
      <c r="J468" s="527">
        <v>11403851</v>
      </c>
      <c r="K468" s="527">
        <v>1254423</v>
      </c>
      <c r="L468" s="336">
        <f t="shared" si="154"/>
        <v>12658274</v>
      </c>
      <c r="M468" s="316">
        <f t="shared" si="155"/>
        <v>12658275</v>
      </c>
    </row>
    <row r="469" spans="1:16" s="248" customFormat="1" x14ac:dyDescent="0.25">
      <c r="A469" s="264">
        <v>45121</v>
      </c>
      <c r="B469" s="433">
        <v>45117</v>
      </c>
      <c r="C469" s="328" t="s">
        <v>5527</v>
      </c>
      <c r="D469" s="263" t="s">
        <v>297</v>
      </c>
      <c r="E469" s="523" t="s">
        <v>369</v>
      </c>
      <c r="F469" s="262" t="s">
        <v>395</v>
      </c>
      <c r="G469" s="247" t="s">
        <v>5830</v>
      </c>
      <c r="H469" s="316">
        <v>12059775</v>
      </c>
      <c r="I469" s="317">
        <v>0</v>
      </c>
      <c r="J469" s="527">
        <v>10864662</v>
      </c>
      <c r="K469" s="527">
        <v>1195112</v>
      </c>
      <c r="L469" s="336">
        <f t="shared" si="154"/>
        <v>12059774</v>
      </c>
      <c r="M469" s="316">
        <f t="shared" si="155"/>
        <v>12059775</v>
      </c>
    </row>
    <row r="470" spans="1:16" s="248" customFormat="1" x14ac:dyDescent="0.25">
      <c r="A470" s="264">
        <v>45121</v>
      </c>
      <c r="B470" s="433">
        <v>45118</v>
      </c>
      <c r="C470" s="328" t="s">
        <v>5528</v>
      </c>
      <c r="D470" s="263" t="s">
        <v>297</v>
      </c>
      <c r="E470" s="523" t="s">
        <v>369</v>
      </c>
      <c r="F470" s="262" t="s">
        <v>395</v>
      </c>
      <c r="G470" s="247" t="s">
        <v>5831</v>
      </c>
      <c r="H470" s="316">
        <v>6650665</v>
      </c>
      <c r="I470" s="317">
        <v>0</v>
      </c>
      <c r="J470" s="527">
        <v>5042617</v>
      </c>
      <c r="K470" s="527">
        <v>554687</v>
      </c>
      <c r="L470" s="336">
        <f t="shared" si="154"/>
        <v>5597304</v>
      </c>
      <c r="M470" s="316">
        <f t="shared" si="155"/>
        <v>6650665</v>
      </c>
    </row>
    <row r="471" spans="1:16" s="248" customFormat="1" x14ac:dyDescent="0.25">
      <c r="A471" s="264">
        <v>45121</v>
      </c>
      <c r="B471" s="433">
        <v>45118</v>
      </c>
      <c r="C471" s="328" t="s">
        <v>5529</v>
      </c>
      <c r="D471" s="263" t="s">
        <v>297</v>
      </c>
      <c r="E471" s="523" t="s">
        <v>369</v>
      </c>
      <c r="F471" s="262" t="s">
        <v>395</v>
      </c>
      <c r="G471" s="247" t="s">
        <v>5832</v>
      </c>
      <c r="H471" s="316">
        <v>62574505</v>
      </c>
      <c r="I471" s="317">
        <v>0</v>
      </c>
      <c r="J471" s="527">
        <v>56373427</v>
      </c>
      <c r="K471" s="527">
        <v>6201077</v>
      </c>
      <c r="L471" s="336">
        <f t="shared" si="154"/>
        <v>62574504</v>
      </c>
      <c r="M471" s="316">
        <f t="shared" si="155"/>
        <v>62574505</v>
      </c>
    </row>
    <row r="472" spans="1:16" s="248" customFormat="1" x14ac:dyDescent="0.25">
      <c r="A472" s="264">
        <v>45121</v>
      </c>
      <c r="B472" s="433">
        <v>45118</v>
      </c>
      <c r="C472" s="328" t="s">
        <v>5530</v>
      </c>
      <c r="D472" s="263" t="s">
        <v>297</v>
      </c>
      <c r="E472" s="523" t="s">
        <v>369</v>
      </c>
      <c r="F472" s="262" t="s">
        <v>395</v>
      </c>
      <c r="G472" s="247" t="s">
        <v>5833</v>
      </c>
      <c r="H472" s="316">
        <v>27381375</v>
      </c>
      <c r="I472" s="317">
        <v>0</v>
      </c>
      <c r="J472" s="527">
        <v>24667905</v>
      </c>
      <c r="K472" s="527">
        <v>2713469</v>
      </c>
      <c r="L472" s="336">
        <f t="shared" si="154"/>
        <v>27381374</v>
      </c>
      <c r="M472" s="316">
        <f t="shared" si="155"/>
        <v>27381375</v>
      </c>
    </row>
    <row r="473" spans="1:16" s="248" customFormat="1" x14ac:dyDescent="0.25">
      <c r="A473" s="264">
        <v>45121</v>
      </c>
      <c r="B473" s="433">
        <v>45119</v>
      </c>
      <c r="C473" s="328" t="s">
        <v>5531</v>
      </c>
      <c r="D473" s="263" t="s">
        <v>297</v>
      </c>
      <c r="E473" s="523" t="s">
        <v>369</v>
      </c>
      <c r="F473" s="262" t="s">
        <v>395</v>
      </c>
      <c r="G473" s="247" t="s">
        <v>5834</v>
      </c>
      <c r="H473" s="316">
        <v>24229275</v>
      </c>
      <c r="I473" s="317">
        <v>0</v>
      </c>
      <c r="J473" s="527">
        <v>21828175</v>
      </c>
      <c r="K473" s="527">
        <v>2401099</v>
      </c>
      <c r="L473" s="336">
        <f t="shared" si="154"/>
        <v>24229274</v>
      </c>
      <c r="M473" s="316">
        <f t="shared" si="155"/>
        <v>24229275</v>
      </c>
    </row>
    <row r="474" spans="1:16" s="248" customFormat="1" x14ac:dyDescent="0.25">
      <c r="A474" s="264">
        <v>45121</v>
      </c>
      <c r="B474" s="433">
        <v>45119</v>
      </c>
      <c r="C474" s="328" t="s">
        <v>5532</v>
      </c>
      <c r="D474" s="263" t="s">
        <v>297</v>
      </c>
      <c r="E474" s="523" t="s">
        <v>369</v>
      </c>
      <c r="F474" s="262" t="s">
        <v>395</v>
      </c>
      <c r="G474" s="247" t="s">
        <v>5835</v>
      </c>
      <c r="H474" s="316">
        <v>5856156.25</v>
      </c>
      <c r="I474" s="317">
        <v>0</v>
      </c>
      <c r="J474" s="527">
        <v>5275816</v>
      </c>
      <c r="K474" s="527">
        <v>580339</v>
      </c>
      <c r="L474" s="336">
        <f t="shared" si="154"/>
        <v>5856155</v>
      </c>
      <c r="M474" s="316">
        <f t="shared" si="155"/>
        <v>5856156.25</v>
      </c>
    </row>
    <row r="475" spans="1:16" s="248" customFormat="1" x14ac:dyDescent="0.25">
      <c r="A475" s="264">
        <v>45127</v>
      </c>
      <c r="B475" s="433">
        <v>45120</v>
      </c>
      <c r="C475" s="328" t="s">
        <v>5533</v>
      </c>
      <c r="D475" s="263" t="s">
        <v>297</v>
      </c>
      <c r="E475" s="523" t="s">
        <v>369</v>
      </c>
      <c r="F475" s="262" t="s">
        <v>395</v>
      </c>
      <c r="G475" s="247" t="s">
        <v>5836</v>
      </c>
      <c r="H475" s="316">
        <v>45152170</v>
      </c>
      <c r="I475" s="317">
        <v>0</v>
      </c>
      <c r="J475" s="527">
        <v>40677630</v>
      </c>
      <c r="K475" s="527">
        <v>4474539</v>
      </c>
      <c r="L475" s="336">
        <f t="shared" si="154"/>
        <v>45152169</v>
      </c>
      <c r="M475" s="316">
        <f t="shared" si="155"/>
        <v>45152170</v>
      </c>
    </row>
    <row r="476" spans="1:16" s="248" customFormat="1" x14ac:dyDescent="0.25">
      <c r="A476" s="264">
        <v>45127</v>
      </c>
      <c r="B476" s="433">
        <v>45120</v>
      </c>
      <c r="C476" s="328" t="s">
        <v>5534</v>
      </c>
      <c r="D476" s="263" t="s">
        <v>297</v>
      </c>
      <c r="E476" s="523" t="s">
        <v>369</v>
      </c>
      <c r="F476" s="262" t="s">
        <v>395</v>
      </c>
      <c r="G476" s="247" t="s">
        <v>5837</v>
      </c>
      <c r="H476" s="316">
        <v>22960854</v>
      </c>
      <c r="I476" s="317">
        <v>0</v>
      </c>
      <c r="J476" s="527">
        <v>20685454</v>
      </c>
      <c r="K476" s="527">
        <v>2275399</v>
      </c>
      <c r="L476" s="336">
        <f t="shared" si="154"/>
        <v>22960853</v>
      </c>
      <c r="M476" s="316">
        <f t="shared" si="155"/>
        <v>22960854</v>
      </c>
    </row>
    <row r="477" spans="1:16" s="248" customFormat="1" x14ac:dyDescent="0.25">
      <c r="A477" s="264">
        <v>45127</v>
      </c>
      <c r="B477" s="433">
        <v>45120</v>
      </c>
      <c r="C477" s="328" t="s">
        <v>5535</v>
      </c>
      <c r="D477" s="263" t="s">
        <v>297</v>
      </c>
      <c r="E477" s="523" t="s">
        <v>369</v>
      </c>
      <c r="F477" s="262" t="s">
        <v>395</v>
      </c>
      <c r="G477" s="247" t="s">
        <v>5838</v>
      </c>
      <c r="H477" s="316">
        <v>10745402.5</v>
      </c>
      <c r="I477" s="317">
        <v>0</v>
      </c>
      <c r="J477" s="527">
        <v>9680542</v>
      </c>
      <c r="K477" s="527">
        <v>1064859</v>
      </c>
      <c r="L477" s="336">
        <f t="shared" si="154"/>
        <v>10745401</v>
      </c>
      <c r="M477" s="316">
        <f t="shared" si="155"/>
        <v>10745402.5</v>
      </c>
    </row>
    <row r="478" spans="1:16" s="248" customFormat="1" x14ac:dyDescent="0.25">
      <c r="A478" s="264">
        <v>45127</v>
      </c>
      <c r="B478" s="433">
        <v>45120</v>
      </c>
      <c r="C478" s="328" t="s">
        <v>5536</v>
      </c>
      <c r="D478" s="263" t="s">
        <v>297</v>
      </c>
      <c r="E478" s="523" t="s">
        <v>369</v>
      </c>
      <c r="F478" s="262" t="s">
        <v>395</v>
      </c>
      <c r="G478" s="247" t="s">
        <v>5839</v>
      </c>
      <c r="H478" s="316">
        <v>3910200</v>
      </c>
      <c r="I478" s="317">
        <v>553612</v>
      </c>
      <c r="J478" s="527">
        <v>3023952</v>
      </c>
      <c r="K478" s="527">
        <v>332634</v>
      </c>
      <c r="L478" s="336">
        <f t="shared" si="154"/>
        <v>3356586</v>
      </c>
      <c r="M478" s="316">
        <f t="shared" si="155"/>
        <v>3356588</v>
      </c>
    </row>
    <row r="479" spans="1:16" s="248" customFormat="1" x14ac:dyDescent="0.25">
      <c r="A479" s="264">
        <v>45127</v>
      </c>
      <c r="B479" s="433">
        <v>45121</v>
      </c>
      <c r="C479" s="328" t="s">
        <v>5537</v>
      </c>
      <c r="D479" s="263" t="s">
        <v>297</v>
      </c>
      <c r="E479" s="523" t="s">
        <v>369</v>
      </c>
      <c r="F479" s="262" t="s">
        <v>395</v>
      </c>
      <c r="G479" s="247" t="s">
        <v>5840</v>
      </c>
      <c r="H479" s="316">
        <v>3142125</v>
      </c>
      <c r="I479" s="317">
        <v>0</v>
      </c>
      <c r="J479" s="527">
        <v>2830743</v>
      </c>
      <c r="K479" s="527">
        <v>311381</v>
      </c>
      <c r="L479" s="336">
        <f t="shared" si="154"/>
        <v>3142124</v>
      </c>
      <c r="M479" s="316">
        <f t="shared" si="155"/>
        <v>3142125</v>
      </c>
    </row>
    <row r="480" spans="1:16" s="248" customFormat="1" x14ac:dyDescent="0.25">
      <c r="A480" s="264">
        <v>45127</v>
      </c>
      <c r="B480" s="433">
        <v>45121</v>
      </c>
      <c r="C480" s="328" t="s">
        <v>5538</v>
      </c>
      <c r="D480" s="263" t="s">
        <v>297</v>
      </c>
      <c r="E480" s="523" t="s">
        <v>369</v>
      </c>
      <c r="F480" s="262" t="s">
        <v>395</v>
      </c>
      <c r="G480" s="247" t="s">
        <v>5841</v>
      </c>
      <c r="H480" s="316">
        <v>45081015</v>
      </c>
      <c r="I480" s="317">
        <v>0</v>
      </c>
      <c r="J480" s="527">
        <v>40613527</v>
      </c>
      <c r="K480" s="527">
        <v>4467487</v>
      </c>
      <c r="L480" s="336">
        <f t="shared" si="154"/>
        <v>45081014</v>
      </c>
      <c r="M480" s="316">
        <f t="shared" si="155"/>
        <v>45081015</v>
      </c>
    </row>
    <row r="481" spans="1:13" s="248" customFormat="1" x14ac:dyDescent="0.25">
      <c r="A481" s="264">
        <v>45129</v>
      </c>
      <c r="B481" s="433">
        <v>45125</v>
      </c>
      <c r="C481" s="328" t="s">
        <v>5574</v>
      </c>
      <c r="D481" s="263" t="s">
        <v>297</v>
      </c>
      <c r="E481" s="523" t="s">
        <v>369</v>
      </c>
      <c r="F481" s="262" t="s">
        <v>395</v>
      </c>
      <c r="G481" s="247" t="s">
        <v>5844</v>
      </c>
      <c r="H481" s="316">
        <v>21127050</v>
      </c>
      <c r="I481" s="317">
        <v>0</v>
      </c>
      <c r="J481" s="527">
        <v>19033378</v>
      </c>
      <c r="K481" s="527">
        <v>2093671</v>
      </c>
      <c r="L481" s="336">
        <f t="shared" ref="L481:L488" si="156">SUM(J481:K481)</f>
        <v>21127049</v>
      </c>
      <c r="M481" s="316">
        <f t="shared" ref="M481:M488" si="157">H481-I481</f>
        <v>21127050</v>
      </c>
    </row>
    <row r="482" spans="1:13" s="248" customFormat="1" x14ac:dyDescent="0.25">
      <c r="A482" s="264">
        <v>45131</v>
      </c>
      <c r="B482" s="433">
        <v>45127</v>
      </c>
      <c r="C482" s="328" t="s">
        <v>5575</v>
      </c>
      <c r="D482" s="263" t="s">
        <v>297</v>
      </c>
      <c r="E482" s="523" t="s">
        <v>369</v>
      </c>
      <c r="F482" s="262" t="s">
        <v>395</v>
      </c>
      <c r="G482" s="247" t="s">
        <v>5845</v>
      </c>
      <c r="H482" s="316">
        <v>35456137.5</v>
      </c>
      <c r="I482" s="317">
        <v>0</v>
      </c>
      <c r="J482" s="527">
        <v>31942466</v>
      </c>
      <c r="K482" s="527">
        <v>3513671</v>
      </c>
      <c r="L482" s="336">
        <f t="shared" si="156"/>
        <v>35456137</v>
      </c>
      <c r="M482" s="316">
        <f t="shared" si="157"/>
        <v>35456137.5</v>
      </c>
    </row>
    <row r="483" spans="1:13" s="248" customFormat="1" x14ac:dyDescent="0.25">
      <c r="A483" s="264">
        <v>45131</v>
      </c>
      <c r="B483" s="433">
        <v>45127</v>
      </c>
      <c r="C483" s="328" t="s">
        <v>5576</v>
      </c>
      <c r="D483" s="263" t="s">
        <v>297</v>
      </c>
      <c r="E483" s="523" t="s">
        <v>369</v>
      </c>
      <c r="F483" s="262" t="s">
        <v>395</v>
      </c>
      <c r="G483" s="247" t="s">
        <v>5846</v>
      </c>
      <c r="H483" s="316">
        <v>6344100</v>
      </c>
      <c r="I483" s="317">
        <v>0</v>
      </c>
      <c r="J483" s="527">
        <v>5715405</v>
      </c>
      <c r="K483" s="527">
        <v>628694</v>
      </c>
      <c r="L483" s="336">
        <f t="shared" si="156"/>
        <v>6344099</v>
      </c>
      <c r="M483" s="316">
        <f t="shared" si="157"/>
        <v>6344100</v>
      </c>
    </row>
    <row r="484" spans="1:13" s="248" customFormat="1" x14ac:dyDescent="0.25">
      <c r="A484" s="264">
        <v>45131</v>
      </c>
      <c r="B484" s="433">
        <v>45128</v>
      </c>
      <c r="C484" s="328" t="s">
        <v>5577</v>
      </c>
      <c r="D484" s="263" t="s">
        <v>297</v>
      </c>
      <c r="E484" s="523" t="s">
        <v>369</v>
      </c>
      <c r="F484" s="262" t="s">
        <v>395</v>
      </c>
      <c r="G484" s="247" t="s">
        <v>5847</v>
      </c>
      <c r="H484" s="316">
        <v>19386329.375</v>
      </c>
      <c r="I484" s="317">
        <v>0</v>
      </c>
      <c r="J484" s="527">
        <v>17465161</v>
      </c>
      <c r="K484" s="527">
        <v>1921167</v>
      </c>
      <c r="L484" s="336">
        <f t="shared" si="156"/>
        <v>19386328</v>
      </c>
      <c r="M484" s="316">
        <f t="shared" si="157"/>
        <v>19386329.375</v>
      </c>
    </row>
    <row r="485" spans="1:13" s="248" customFormat="1" x14ac:dyDescent="0.25">
      <c r="A485" s="264">
        <v>45131</v>
      </c>
      <c r="B485" s="433">
        <v>45128</v>
      </c>
      <c r="C485" s="328" t="s">
        <v>5578</v>
      </c>
      <c r="D485" s="263" t="s">
        <v>297</v>
      </c>
      <c r="E485" s="523" t="s">
        <v>369</v>
      </c>
      <c r="F485" s="262" t="s">
        <v>395</v>
      </c>
      <c r="G485" s="247" t="s">
        <v>5848</v>
      </c>
      <c r="H485" s="316">
        <v>28798157.5</v>
      </c>
      <c r="I485" s="317">
        <v>0</v>
      </c>
      <c r="J485" s="527">
        <v>25944286</v>
      </c>
      <c r="K485" s="527">
        <v>2853871</v>
      </c>
      <c r="L485" s="336">
        <f t="shared" si="156"/>
        <v>28798157</v>
      </c>
      <c r="M485" s="316">
        <f t="shared" si="157"/>
        <v>28798157.5</v>
      </c>
    </row>
    <row r="486" spans="1:13" s="248" customFormat="1" x14ac:dyDescent="0.25">
      <c r="A486" s="264">
        <v>45131</v>
      </c>
      <c r="B486" s="433">
        <v>45128</v>
      </c>
      <c r="C486" s="328" t="s">
        <v>5579</v>
      </c>
      <c r="D486" s="263" t="s">
        <v>297</v>
      </c>
      <c r="E486" s="523" t="s">
        <v>369</v>
      </c>
      <c r="F486" s="262" t="s">
        <v>395</v>
      </c>
      <c r="G486" s="247" t="s">
        <v>5849</v>
      </c>
      <c r="H486" s="316">
        <v>33160890</v>
      </c>
      <c r="I486" s="317">
        <v>0</v>
      </c>
      <c r="J486" s="527">
        <v>29874675</v>
      </c>
      <c r="K486" s="527">
        <v>3286214</v>
      </c>
      <c r="L486" s="336">
        <f t="shared" si="156"/>
        <v>33160889</v>
      </c>
      <c r="M486" s="316">
        <f t="shared" si="157"/>
        <v>33160890</v>
      </c>
    </row>
    <row r="487" spans="1:13" s="248" customFormat="1" x14ac:dyDescent="0.25">
      <c r="A487" s="264">
        <v>45134</v>
      </c>
      <c r="B487" s="433">
        <v>45129</v>
      </c>
      <c r="C487" s="328" t="s">
        <v>5580</v>
      </c>
      <c r="D487" s="263" t="s">
        <v>297</v>
      </c>
      <c r="E487" s="523" t="s">
        <v>369</v>
      </c>
      <c r="F487" s="262" t="s">
        <v>395</v>
      </c>
      <c r="G487" s="247" t="s">
        <v>5850</v>
      </c>
      <c r="H487" s="316">
        <v>35183820</v>
      </c>
      <c r="I487" s="317">
        <v>0</v>
      </c>
      <c r="J487" s="527">
        <v>31578513</v>
      </c>
      <c r="K487" s="527">
        <v>3473636</v>
      </c>
      <c r="L487" s="336">
        <f t="shared" si="156"/>
        <v>35052149</v>
      </c>
      <c r="M487" s="316">
        <f t="shared" si="157"/>
        <v>35183820</v>
      </c>
    </row>
    <row r="488" spans="1:13" s="248" customFormat="1" x14ac:dyDescent="0.25">
      <c r="A488" s="264">
        <v>45134</v>
      </c>
      <c r="B488" s="433">
        <v>45131</v>
      </c>
      <c r="C488" s="328" t="s">
        <v>5581</v>
      </c>
      <c r="D488" s="263" t="s">
        <v>297</v>
      </c>
      <c r="E488" s="523" t="s">
        <v>369</v>
      </c>
      <c r="F488" s="262" t="s">
        <v>395</v>
      </c>
      <c r="G488" s="247" t="s">
        <v>5851</v>
      </c>
      <c r="H488" s="316">
        <v>3447360</v>
      </c>
      <c r="I488" s="317">
        <v>0</v>
      </c>
      <c r="J488" s="527">
        <v>3105729</v>
      </c>
      <c r="K488" s="527">
        <v>341630</v>
      </c>
      <c r="L488" s="336">
        <f t="shared" si="156"/>
        <v>3447359</v>
      </c>
      <c r="M488" s="316">
        <f t="shared" si="157"/>
        <v>3447360</v>
      </c>
    </row>
    <row r="489" spans="1:13" s="248" customFormat="1" x14ac:dyDescent="0.25">
      <c r="A489" s="264">
        <v>45135</v>
      </c>
      <c r="B489" s="433">
        <v>45132</v>
      </c>
      <c r="C489" s="328" t="s">
        <v>5594</v>
      </c>
      <c r="D489" s="263" t="s">
        <v>297</v>
      </c>
      <c r="E489" s="523" t="s">
        <v>369</v>
      </c>
      <c r="F489" s="262" t="s">
        <v>395</v>
      </c>
      <c r="G489" s="247" t="s">
        <v>5852</v>
      </c>
      <c r="H489" s="316">
        <v>12855780</v>
      </c>
      <c r="I489" s="317">
        <v>0</v>
      </c>
      <c r="J489" s="527">
        <v>11581783</v>
      </c>
      <c r="K489" s="527">
        <v>1273996</v>
      </c>
      <c r="L489" s="336">
        <f t="shared" ref="L489:L490" si="158">SUM(J489:K489)</f>
        <v>12855779</v>
      </c>
      <c r="M489" s="316">
        <f t="shared" ref="M489:M490" si="159">H489-I489</f>
        <v>12855780</v>
      </c>
    </row>
    <row r="490" spans="1:13" s="248" customFormat="1" x14ac:dyDescent="0.25">
      <c r="A490" s="264">
        <v>45135</v>
      </c>
      <c r="B490" s="433">
        <v>45133</v>
      </c>
      <c r="C490" s="328" t="s">
        <v>5595</v>
      </c>
      <c r="D490" s="263" t="s">
        <v>297</v>
      </c>
      <c r="E490" s="523" t="s">
        <v>369</v>
      </c>
      <c r="F490" s="262" t="s">
        <v>395</v>
      </c>
      <c r="G490" s="247" t="s">
        <v>5853</v>
      </c>
      <c r="H490" s="316">
        <v>2836890</v>
      </c>
      <c r="I490" s="317">
        <v>0</v>
      </c>
      <c r="J490" s="527">
        <v>2555756</v>
      </c>
      <c r="K490" s="527">
        <v>281133</v>
      </c>
      <c r="L490" s="336">
        <f t="shared" si="158"/>
        <v>2836889</v>
      </c>
      <c r="M490" s="316">
        <f t="shared" si="159"/>
        <v>2836890</v>
      </c>
    </row>
    <row r="491" spans="1:13" s="248" customFormat="1" x14ac:dyDescent="0.25">
      <c r="A491" s="264">
        <v>45138</v>
      </c>
      <c r="B491" s="433">
        <v>45134</v>
      </c>
      <c r="C491" s="328" t="s">
        <v>5664</v>
      </c>
      <c r="D491" s="263" t="s">
        <v>297</v>
      </c>
      <c r="E491" s="523" t="s">
        <v>369</v>
      </c>
      <c r="F491" s="262" t="s">
        <v>395</v>
      </c>
      <c r="G491" s="247" t="s">
        <v>5854</v>
      </c>
      <c r="H491" s="316">
        <v>17982930</v>
      </c>
      <c r="I491" s="317">
        <v>0</v>
      </c>
      <c r="J491" s="527">
        <v>16200837</v>
      </c>
      <c r="K491" s="527">
        <v>1782092</v>
      </c>
      <c r="L491" s="336">
        <f t="shared" ref="L491:L493" si="160">SUM(J491:K491)</f>
        <v>17982929</v>
      </c>
      <c r="M491" s="316">
        <f t="shared" ref="M491:M493" si="161">H491-I491</f>
        <v>17982930</v>
      </c>
    </row>
    <row r="492" spans="1:13" s="248" customFormat="1" x14ac:dyDescent="0.25">
      <c r="A492" s="264">
        <v>45139</v>
      </c>
      <c r="B492" s="433">
        <v>45135</v>
      </c>
      <c r="C492" s="328" t="s">
        <v>5665</v>
      </c>
      <c r="D492" s="263" t="s">
        <v>297</v>
      </c>
      <c r="E492" s="523" t="s">
        <v>369</v>
      </c>
      <c r="F492" s="262" t="s">
        <v>395</v>
      </c>
      <c r="G492" s="247" t="s">
        <v>5855</v>
      </c>
      <c r="H492" s="316">
        <v>2573550</v>
      </c>
      <c r="I492" s="317">
        <v>0</v>
      </c>
      <c r="J492" s="527">
        <v>2318513</v>
      </c>
      <c r="K492" s="527">
        <v>255036</v>
      </c>
      <c r="L492" s="336">
        <f t="shared" si="160"/>
        <v>2573549</v>
      </c>
      <c r="M492" s="316">
        <f t="shared" si="161"/>
        <v>2573550</v>
      </c>
    </row>
    <row r="493" spans="1:13" s="248" customFormat="1" x14ac:dyDescent="0.25">
      <c r="A493" s="264">
        <v>45139</v>
      </c>
      <c r="B493" s="433">
        <v>45136</v>
      </c>
      <c r="C493" s="328" t="s">
        <v>5666</v>
      </c>
      <c r="D493" s="263" t="s">
        <v>297</v>
      </c>
      <c r="E493" s="523" t="s">
        <v>369</v>
      </c>
      <c r="F493" s="262" t="s">
        <v>395</v>
      </c>
      <c r="G493" s="247" t="s">
        <v>5856</v>
      </c>
      <c r="H493" s="316">
        <v>7541100</v>
      </c>
      <c r="I493" s="317">
        <v>0</v>
      </c>
      <c r="J493" s="527">
        <v>6793783</v>
      </c>
      <c r="K493" s="527">
        <v>747316</v>
      </c>
      <c r="L493" s="336">
        <f t="shared" si="160"/>
        <v>7541099</v>
      </c>
      <c r="M493" s="316">
        <f t="shared" si="161"/>
        <v>7541100</v>
      </c>
    </row>
    <row r="494" spans="1:13" s="248" customFormat="1" x14ac:dyDescent="0.25">
      <c r="A494" s="264">
        <v>45142</v>
      </c>
      <c r="B494" s="433">
        <v>45138</v>
      </c>
      <c r="C494" s="328" t="s">
        <v>5687</v>
      </c>
      <c r="D494" s="263" t="s">
        <v>297</v>
      </c>
      <c r="E494" s="523" t="s">
        <v>369</v>
      </c>
      <c r="F494" s="262" t="s">
        <v>395</v>
      </c>
      <c r="G494" s="247" t="s">
        <v>5857</v>
      </c>
      <c r="H494" s="316">
        <v>20516580</v>
      </c>
      <c r="I494" s="317">
        <v>526680</v>
      </c>
      <c r="J494" s="527">
        <v>18008918</v>
      </c>
      <c r="K494" s="527">
        <v>1980981</v>
      </c>
      <c r="L494" s="336">
        <f t="shared" ref="L494:L495" si="162">SUM(J494:K494)</f>
        <v>19989899</v>
      </c>
      <c r="M494" s="316">
        <f t="shared" ref="M494:M495" si="163">H494-I494</f>
        <v>19989900</v>
      </c>
    </row>
    <row r="495" spans="1:13" s="248" customFormat="1" x14ac:dyDescent="0.25">
      <c r="A495" s="264">
        <v>45142</v>
      </c>
      <c r="B495" s="433">
        <v>45138</v>
      </c>
      <c r="C495" s="328" t="s">
        <v>5688</v>
      </c>
      <c r="D495" s="263" t="s">
        <v>297</v>
      </c>
      <c r="E495" s="523" t="s">
        <v>369</v>
      </c>
      <c r="F495" s="262" t="s">
        <v>395</v>
      </c>
      <c r="G495" s="247" t="s">
        <v>5858</v>
      </c>
      <c r="H495" s="316">
        <v>6479760</v>
      </c>
      <c r="I495" s="317">
        <v>0</v>
      </c>
      <c r="J495" s="527">
        <v>5837621</v>
      </c>
      <c r="K495" s="527">
        <v>642138</v>
      </c>
      <c r="L495" s="336">
        <f t="shared" si="162"/>
        <v>6479759</v>
      </c>
      <c r="M495" s="316">
        <f t="shared" si="163"/>
        <v>6479760</v>
      </c>
    </row>
    <row r="496" spans="1:13" s="248" customFormat="1" x14ac:dyDescent="0.25">
      <c r="A496" s="264">
        <v>45131</v>
      </c>
      <c r="B496" s="433">
        <v>45128</v>
      </c>
      <c r="C496" s="328" t="s">
        <v>5541</v>
      </c>
      <c r="D496" s="263" t="s">
        <v>397</v>
      </c>
      <c r="E496" s="265" t="s">
        <v>7135</v>
      </c>
      <c r="F496" s="262" t="s">
        <v>396</v>
      </c>
      <c r="G496" s="247" t="s">
        <v>5859</v>
      </c>
      <c r="H496" s="316">
        <v>17573520</v>
      </c>
      <c r="I496" s="317">
        <v>0</v>
      </c>
      <c r="J496" s="527">
        <v>15832000</v>
      </c>
      <c r="K496" s="527">
        <v>1741520</v>
      </c>
      <c r="L496" s="336">
        <f>SUM(J496:K496)</f>
        <v>17573520</v>
      </c>
      <c r="M496" s="316">
        <f>H496-I496</f>
        <v>17573520</v>
      </c>
    </row>
    <row r="497" spans="1:15" s="248" customFormat="1" x14ac:dyDescent="0.25">
      <c r="A497" s="264">
        <v>45113</v>
      </c>
      <c r="B497" s="433">
        <v>45110</v>
      </c>
      <c r="C497" s="328" t="s">
        <v>5394</v>
      </c>
      <c r="D497" s="263" t="s">
        <v>378</v>
      </c>
      <c r="E497" s="265" t="s">
        <v>379</v>
      </c>
      <c r="F497" s="262" t="s">
        <v>380</v>
      </c>
      <c r="G497" s="247" t="s">
        <v>5860</v>
      </c>
      <c r="H497" s="316">
        <v>102480000</v>
      </c>
      <c r="I497" s="317">
        <v>7173600.0000000019</v>
      </c>
      <c r="J497" s="527">
        <v>85845703</v>
      </c>
      <c r="K497" s="527">
        <v>9443027</v>
      </c>
      <c r="L497" s="336">
        <f t="shared" ref="L497" si="164">SUM(J497:K497)</f>
        <v>95288730</v>
      </c>
      <c r="M497" s="316">
        <f t="shared" ref="M497" si="165">H497-I497</f>
        <v>95306400</v>
      </c>
    </row>
    <row r="498" spans="1:15" s="248" customFormat="1" x14ac:dyDescent="0.25">
      <c r="A498" s="264">
        <v>45119</v>
      </c>
      <c r="B498" s="433">
        <v>45114</v>
      </c>
      <c r="C498" s="328" t="s">
        <v>5398</v>
      </c>
      <c r="D498" s="263" t="s">
        <v>378</v>
      </c>
      <c r="E498" s="265" t="s">
        <v>379</v>
      </c>
      <c r="F498" s="262" t="s">
        <v>380</v>
      </c>
      <c r="G498" s="247" t="s">
        <v>5861</v>
      </c>
      <c r="H498" s="316">
        <v>8040000</v>
      </c>
      <c r="I498" s="317">
        <v>562800</v>
      </c>
      <c r="J498" s="527">
        <v>6736216</v>
      </c>
      <c r="K498" s="527">
        <v>740984</v>
      </c>
      <c r="L498" s="336">
        <f t="shared" ref="L498" si="166">SUM(J498:K498)</f>
        <v>7477200</v>
      </c>
      <c r="M498" s="316">
        <f t="shared" ref="M498" si="167">H498-I498</f>
        <v>7477200</v>
      </c>
    </row>
    <row r="499" spans="1:15" ht="18" x14ac:dyDescent="0.25">
      <c r="A499" s="435" t="s">
        <v>38</v>
      </c>
      <c r="B499" s="434"/>
      <c r="C499" s="437"/>
      <c r="D499" s="436"/>
      <c r="E499" s="441"/>
      <c r="F499" s="441"/>
      <c r="G499" s="438"/>
      <c r="H499" s="336">
        <f>SUM(H417:H498)</f>
        <v>2843806902.91044</v>
      </c>
      <c r="I499" s="336"/>
      <c r="J499" s="336">
        <f>SUM(J417:J498)</f>
        <v>2336415546.6756754</v>
      </c>
      <c r="K499" s="336">
        <f>SUM(K417:K498)</f>
        <v>257005683.32432434</v>
      </c>
      <c r="L499" s="336">
        <f>SUM(L417:L498)</f>
        <v>2593421230</v>
      </c>
      <c r="M499" s="336">
        <f>SUM(M417:M498)</f>
        <v>2595170202.5224628</v>
      </c>
    </row>
    <row r="500" spans="1:15" ht="18" x14ac:dyDescent="0.25">
      <c r="A500" s="432" t="s">
        <v>105</v>
      </c>
      <c r="B500" s="432"/>
      <c r="C500" s="344"/>
      <c r="D500" s="343"/>
      <c r="E500" s="440"/>
      <c r="F500" s="440"/>
      <c r="G500" s="343"/>
      <c r="H500" s="345"/>
      <c r="I500" s="345"/>
      <c r="J500" s="526"/>
      <c r="K500" s="526"/>
      <c r="L500" s="612"/>
      <c r="M500" s="346"/>
    </row>
    <row r="501" spans="1:15" s="248" customFormat="1" x14ac:dyDescent="0.25">
      <c r="A501" s="264">
        <v>45171</v>
      </c>
      <c r="B501" s="433">
        <v>45167</v>
      </c>
      <c r="C501" s="328" t="s">
        <v>6126</v>
      </c>
      <c r="D501" s="263" t="s">
        <v>298</v>
      </c>
      <c r="E501" s="265" t="s">
        <v>374</v>
      </c>
      <c r="F501" s="262" t="s">
        <v>375</v>
      </c>
      <c r="G501" s="247" t="s">
        <v>6017</v>
      </c>
      <c r="H501" s="316">
        <v>23652000</v>
      </c>
      <c r="I501" s="317">
        <v>0</v>
      </c>
      <c r="J501" s="527">
        <v>21307536</v>
      </c>
      <c r="K501" s="527">
        <v>2343828</v>
      </c>
      <c r="L501" s="336">
        <f>SUM(J501:K501)</f>
        <v>23651364</v>
      </c>
      <c r="M501" s="316">
        <f>H501-I501</f>
        <v>23652000</v>
      </c>
    </row>
    <row r="502" spans="1:15" s="248" customFormat="1" x14ac:dyDescent="0.25">
      <c r="A502" s="264">
        <v>45171</v>
      </c>
      <c r="B502" s="433">
        <v>45167</v>
      </c>
      <c r="C502" s="328" t="s">
        <v>6125</v>
      </c>
      <c r="D502" s="263" t="s">
        <v>298</v>
      </c>
      <c r="E502" s="265" t="s">
        <v>374</v>
      </c>
      <c r="F502" s="262" t="s">
        <v>375</v>
      </c>
      <c r="G502" s="247" t="s">
        <v>6018</v>
      </c>
      <c r="H502" s="316">
        <v>15768000</v>
      </c>
      <c r="I502" s="317">
        <v>0</v>
      </c>
      <c r="J502" s="527">
        <v>14205024</v>
      </c>
      <c r="K502" s="527">
        <v>1562552</v>
      </c>
      <c r="L502" s="336">
        <f>SUM(J502:K502)</f>
        <v>15767576</v>
      </c>
      <c r="M502" s="316">
        <f>H502-I502</f>
        <v>15768000</v>
      </c>
    </row>
    <row r="503" spans="1:15" s="248" customFormat="1" x14ac:dyDescent="0.25">
      <c r="A503" s="264">
        <v>45142</v>
      </c>
      <c r="B503" s="433">
        <v>45139</v>
      </c>
      <c r="C503" s="328" t="s">
        <v>5965</v>
      </c>
      <c r="D503" s="524" t="s">
        <v>297</v>
      </c>
      <c r="E503" s="523" t="s">
        <v>369</v>
      </c>
      <c r="F503" s="262" t="s">
        <v>395</v>
      </c>
      <c r="G503" s="247" t="s">
        <v>6019</v>
      </c>
      <c r="H503" s="316">
        <v>3127162.5</v>
      </c>
      <c r="I503" s="317">
        <v>0</v>
      </c>
      <c r="J503" s="527">
        <v>2817263</v>
      </c>
      <c r="K503" s="527">
        <v>309898</v>
      </c>
      <c r="L503" s="336">
        <f t="shared" ref="L503:L532" si="168">SUM(J503:K503)</f>
        <v>3127161</v>
      </c>
      <c r="M503" s="316">
        <f t="shared" ref="M503:M532" si="169">H503-I503</f>
        <v>3127162.5</v>
      </c>
    </row>
    <row r="504" spans="1:15" s="248" customFormat="1" x14ac:dyDescent="0.25">
      <c r="A504" s="264">
        <v>45143</v>
      </c>
      <c r="B504" s="433">
        <v>45141</v>
      </c>
      <c r="C504" s="328" t="s">
        <v>6021</v>
      </c>
      <c r="D504" s="524" t="s">
        <v>297</v>
      </c>
      <c r="E504" s="523" t="s">
        <v>369</v>
      </c>
      <c r="F504" s="262" t="s">
        <v>395</v>
      </c>
      <c r="G504" s="247" t="s">
        <v>6020</v>
      </c>
      <c r="H504" s="316">
        <v>36052975</v>
      </c>
      <c r="I504" s="317">
        <v>0</v>
      </c>
      <c r="J504" s="527">
        <v>32480157</v>
      </c>
      <c r="K504" s="527">
        <v>3572817</v>
      </c>
      <c r="L504" s="336">
        <f t="shared" si="168"/>
        <v>36052974</v>
      </c>
      <c r="M504" s="316">
        <f t="shared" si="169"/>
        <v>36052975</v>
      </c>
    </row>
    <row r="505" spans="1:15" s="248" customFormat="1" x14ac:dyDescent="0.25">
      <c r="A505" s="264">
        <v>45143</v>
      </c>
      <c r="B505" s="433">
        <v>45141</v>
      </c>
      <c r="C505" s="328" t="s">
        <v>6022</v>
      </c>
      <c r="D505" s="524" t="s">
        <v>297</v>
      </c>
      <c r="E505" s="523" t="s">
        <v>369</v>
      </c>
      <c r="F505" s="262" t="s">
        <v>395</v>
      </c>
      <c r="G505" s="247" t="s">
        <v>6023</v>
      </c>
      <c r="H505" s="316">
        <v>3351600</v>
      </c>
      <c r="I505" s="317">
        <v>0</v>
      </c>
      <c r="J505" s="527">
        <v>3019459</v>
      </c>
      <c r="K505" s="527">
        <v>332140</v>
      </c>
      <c r="L505" s="336">
        <f t="shared" si="168"/>
        <v>3351599</v>
      </c>
      <c r="M505" s="316">
        <f t="shared" si="169"/>
        <v>3351600</v>
      </c>
    </row>
    <row r="506" spans="1:15" s="248" customFormat="1" x14ac:dyDescent="0.25">
      <c r="A506" s="264">
        <v>45147</v>
      </c>
      <c r="B506" s="433">
        <v>45142</v>
      </c>
      <c r="C506" s="328" t="s">
        <v>5966</v>
      </c>
      <c r="D506" s="524" t="s">
        <v>297</v>
      </c>
      <c r="E506" s="523" t="s">
        <v>369</v>
      </c>
      <c r="F506" s="262" t="s">
        <v>395</v>
      </c>
      <c r="G506" s="247" t="s">
        <v>6024</v>
      </c>
      <c r="H506" s="316">
        <v>604485</v>
      </c>
      <c r="I506" s="317">
        <v>0</v>
      </c>
      <c r="J506" s="527">
        <v>544581</v>
      </c>
      <c r="K506" s="527">
        <v>59903</v>
      </c>
      <c r="L506" s="336">
        <f t="shared" si="168"/>
        <v>604484</v>
      </c>
      <c r="M506" s="316">
        <f t="shared" si="169"/>
        <v>604485</v>
      </c>
    </row>
    <row r="507" spans="1:15" s="248" customFormat="1" x14ac:dyDescent="0.25">
      <c r="A507" s="264">
        <v>45147</v>
      </c>
      <c r="B507" s="433">
        <v>45143</v>
      </c>
      <c r="C507" s="328" t="s">
        <v>5967</v>
      </c>
      <c r="D507" s="524" t="s">
        <v>297</v>
      </c>
      <c r="E507" s="523" t="s">
        <v>369</v>
      </c>
      <c r="F507" s="262" t="s">
        <v>395</v>
      </c>
      <c r="G507" s="247" t="s">
        <v>6025</v>
      </c>
      <c r="H507" s="316">
        <v>8103690</v>
      </c>
      <c r="I507" s="317">
        <v>0</v>
      </c>
      <c r="J507" s="527">
        <v>7300621</v>
      </c>
      <c r="K507" s="527">
        <v>803068</v>
      </c>
      <c r="L507" s="336">
        <f t="shared" si="168"/>
        <v>8103689</v>
      </c>
      <c r="M507" s="316">
        <f t="shared" si="169"/>
        <v>8103690</v>
      </c>
    </row>
    <row r="508" spans="1:15" s="248" customFormat="1" x14ac:dyDescent="0.25">
      <c r="A508" s="264">
        <v>45148</v>
      </c>
      <c r="B508" s="433">
        <v>45145</v>
      </c>
      <c r="C508" s="328" t="s">
        <v>5968</v>
      </c>
      <c r="D508" s="524" t="s">
        <v>297</v>
      </c>
      <c r="E508" s="523" t="s">
        <v>369</v>
      </c>
      <c r="F508" s="262" t="s">
        <v>395</v>
      </c>
      <c r="G508" s="247" t="s">
        <v>6026</v>
      </c>
      <c r="H508" s="316">
        <v>28860387.5</v>
      </c>
      <c r="I508" s="317">
        <v>0</v>
      </c>
      <c r="J508" s="527">
        <f t="shared" ref="J508" si="170">(H508-I508)/1.11</f>
        <v>26000349.099099096</v>
      </c>
      <c r="K508" s="527">
        <f t="shared" ref="K508" si="171">J508*11%</f>
        <v>2860038.4009009004</v>
      </c>
      <c r="L508" s="336">
        <f t="shared" si="168"/>
        <v>28860387.499999996</v>
      </c>
      <c r="M508" s="316">
        <f t="shared" si="169"/>
        <v>28860387.5</v>
      </c>
    </row>
    <row r="509" spans="1:15" s="248" customFormat="1" x14ac:dyDescent="0.25">
      <c r="A509" s="264">
        <v>45148</v>
      </c>
      <c r="B509" s="433">
        <v>45145</v>
      </c>
      <c r="C509" s="328" t="s">
        <v>6028</v>
      </c>
      <c r="D509" s="524" t="s">
        <v>297</v>
      </c>
      <c r="E509" s="523" t="s">
        <v>369</v>
      </c>
      <c r="F509" s="262" t="s">
        <v>395</v>
      </c>
      <c r="G509" s="247" t="s">
        <v>6027</v>
      </c>
      <c r="H509" s="316">
        <v>61510050</v>
      </c>
      <c r="I509" s="317">
        <v>0</v>
      </c>
      <c r="J509" s="527">
        <v>55414459</v>
      </c>
      <c r="K509" s="527">
        <v>6095590</v>
      </c>
      <c r="L509" s="336">
        <f t="shared" si="168"/>
        <v>61510049</v>
      </c>
      <c r="M509" s="316">
        <f t="shared" si="169"/>
        <v>61510050</v>
      </c>
      <c r="O509" s="758"/>
    </row>
    <row r="510" spans="1:15" s="248" customFormat="1" x14ac:dyDescent="0.25">
      <c r="A510" s="264">
        <v>45149</v>
      </c>
      <c r="B510" s="433">
        <v>45146</v>
      </c>
      <c r="C510" s="328" t="s">
        <v>6030</v>
      </c>
      <c r="D510" s="524" t="s">
        <v>297</v>
      </c>
      <c r="E510" s="523" t="s">
        <v>369</v>
      </c>
      <c r="F510" s="262" t="s">
        <v>395</v>
      </c>
      <c r="G510" s="247" t="s">
        <v>6029</v>
      </c>
      <c r="H510" s="316">
        <v>15833475</v>
      </c>
      <c r="I510" s="317">
        <v>0</v>
      </c>
      <c r="J510" s="527">
        <v>14264391</v>
      </c>
      <c r="K510" s="527">
        <v>1569083</v>
      </c>
      <c r="L510" s="336">
        <f t="shared" si="168"/>
        <v>15833474</v>
      </c>
      <c r="M510" s="316">
        <f t="shared" si="169"/>
        <v>15833475</v>
      </c>
      <c r="O510" s="758"/>
    </row>
    <row r="511" spans="1:15" s="248" customFormat="1" x14ac:dyDescent="0.25">
      <c r="A511" s="264">
        <v>45149</v>
      </c>
      <c r="B511" s="433">
        <v>45146</v>
      </c>
      <c r="C511" s="328" t="s">
        <v>6032</v>
      </c>
      <c r="D511" s="524" t="s">
        <v>297</v>
      </c>
      <c r="E511" s="523" t="s">
        <v>369</v>
      </c>
      <c r="F511" s="262" t="s">
        <v>395</v>
      </c>
      <c r="G511" s="247" t="s">
        <v>6031</v>
      </c>
      <c r="H511" s="316">
        <v>9123975</v>
      </c>
      <c r="I511" s="317">
        <v>0</v>
      </c>
      <c r="J511" s="527">
        <v>8219797</v>
      </c>
      <c r="K511" s="527">
        <v>904177</v>
      </c>
      <c r="L511" s="336">
        <f t="shared" si="168"/>
        <v>9123974</v>
      </c>
      <c r="M511" s="316">
        <f t="shared" si="169"/>
        <v>9123975</v>
      </c>
    </row>
    <row r="512" spans="1:15" s="248" customFormat="1" x14ac:dyDescent="0.25">
      <c r="A512" s="264">
        <v>45151</v>
      </c>
      <c r="B512" s="433">
        <v>45147</v>
      </c>
      <c r="C512" s="328" t="s">
        <v>6034</v>
      </c>
      <c r="D512" s="524" t="s">
        <v>297</v>
      </c>
      <c r="E512" s="523" t="s">
        <v>369</v>
      </c>
      <c r="F512" s="262" t="s">
        <v>395</v>
      </c>
      <c r="G512" s="247" t="s">
        <v>6033</v>
      </c>
      <c r="H512" s="316">
        <v>2413950</v>
      </c>
      <c r="I512" s="317">
        <v>0</v>
      </c>
      <c r="J512" s="527">
        <v>2174729</v>
      </c>
      <c r="K512" s="527">
        <v>239220</v>
      </c>
      <c r="L512" s="336">
        <f t="shared" si="168"/>
        <v>2413949</v>
      </c>
      <c r="M512" s="316">
        <f t="shared" si="169"/>
        <v>2413950</v>
      </c>
    </row>
    <row r="513" spans="1:13" s="248" customFormat="1" x14ac:dyDescent="0.25">
      <c r="A513" s="264">
        <v>45151</v>
      </c>
      <c r="B513" s="433">
        <v>45147</v>
      </c>
      <c r="C513" s="328" t="s">
        <v>6036</v>
      </c>
      <c r="D513" s="524" t="s">
        <v>297</v>
      </c>
      <c r="E513" s="523" t="s">
        <v>369</v>
      </c>
      <c r="F513" s="262" t="s">
        <v>395</v>
      </c>
      <c r="G513" s="247" t="s">
        <v>6035</v>
      </c>
      <c r="H513" s="316">
        <v>53019225</v>
      </c>
      <c r="I513" s="317">
        <v>0</v>
      </c>
      <c r="J513" s="527">
        <v>47765067</v>
      </c>
      <c r="K513" s="527">
        <v>5254157</v>
      </c>
      <c r="L513" s="336">
        <f t="shared" si="168"/>
        <v>53019224</v>
      </c>
      <c r="M513" s="316">
        <f t="shared" si="169"/>
        <v>53019225</v>
      </c>
    </row>
    <row r="514" spans="1:13" s="248" customFormat="1" x14ac:dyDescent="0.25">
      <c r="A514" s="264">
        <v>45152</v>
      </c>
      <c r="B514" s="433">
        <v>45148</v>
      </c>
      <c r="C514" s="328" t="s">
        <v>5969</v>
      </c>
      <c r="D514" s="524" t="s">
        <v>297</v>
      </c>
      <c r="E514" s="523" t="s">
        <v>369</v>
      </c>
      <c r="F514" s="262" t="s">
        <v>395</v>
      </c>
      <c r="G514" s="247" t="s">
        <v>6037</v>
      </c>
      <c r="H514" s="316">
        <v>2827912.5</v>
      </c>
      <c r="I514" s="317">
        <v>0</v>
      </c>
      <c r="J514" s="527">
        <v>2547668</v>
      </c>
      <c r="K514" s="527">
        <v>280243</v>
      </c>
      <c r="L514" s="336">
        <f t="shared" si="168"/>
        <v>2827911</v>
      </c>
      <c r="M514" s="316">
        <f t="shared" si="169"/>
        <v>2827912.5</v>
      </c>
    </row>
    <row r="515" spans="1:13" s="248" customFormat="1" x14ac:dyDescent="0.25">
      <c r="A515" s="264">
        <v>45154</v>
      </c>
      <c r="B515" s="433">
        <v>45149</v>
      </c>
      <c r="C515" s="328" t="s">
        <v>5970</v>
      </c>
      <c r="D515" s="524" t="s">
        <v>297</v>
      </c>
      <c r="E515" s="523" t="s">
        <v>369</v>
      </c>
      <c r="F515" s="262" t="s">
        <v>395</v>
      </c>
      <c r="G515" s="247" t="s">
        <v>6038</v>
      </c>
      <c r="H515" s="316">
        <v>12835830</v>
      </c>
      <c r="I515" s="317">
        <v>0</v>
      </c>
      <c r="J515" s="527">
        <v>11563810</v>
      </c>
      <c r="K515" s="527">
        <v>1272019</v>
      </c>
      <c r="L515" s="336">
        <f t="shared" si="168"/>
        <v>12835829</v>
      </c>
      <c r="M515" s="316">
        <f t="shared" si="169"/>
        <v>12835830</v>
      </c>
    </row>
    <row r="516" spans="1:13" s="248" customFormat="1" x14ac:dyDescent="0.25">
      <c r="A516" s="264">
        <v>45154</v>
      </c>
      <c r="B516" s="433">
        <v>45149</v>
      </c>
      <c r="C516" s="328" t="s">
        <v>5971</v>
      </c>
      <c r="D516" s="524" t="s">
        <v>297</v>
      </c>
      <c r="E516" s="523" t="s">
        <v>369</v>
      </c>
      <c r="F516" s="262" t="s">
        <v>395</v>
      </c>
      <c r="G516" s="247" t="s">
        <v>6039</v>
      </c>
      <c r="H516" s="316">
        <v>9600210.75</v>
      </c>
      <c r="I516" s="317">
        <v>135432</v>
      </c>
      <c r="J516" s="527">
        <v>8526827</v>
      </c>
      <c r="K516" s="527">
        <v>937951</v>
      </c>
      <c r="L516" s="336">
        <f t="shared" si="168"/>
        <v>9464778</v>
      </c>
      <c r="M516" s="316">
        <f t="shared" si="169"/>
        <v>9464778.75</v>
      </c>
    </row>
    <row r="517" spans="1:13" s="248" customFormat="1" x14ac:dyDescent="0.25">
      <c r="A517" s="264">
        <v>45154</v>
      </c>
      <c r="B517" s="433">
        <v>45149</v>
      </c>
      <c r="C517" s="328" t="s">
        <v>5972</v>
      </c>
      <c r="D517" s="524" t="s">
        <v>297</v>
      </c>
      <c r="E517" s="523" t="s">
        <v>369</v>
      </c>
      <c r="F517" s="262" t="s">
        <v>395</v>
      </c>
      <c r="G517" s="247" t="s">
        <v>6040</v>
      </c>
      <c r="H517" s="316">
        <v>7539840</v>
      </c>
      <c r="I517" s="317">
        <v>0</v>
      </c>
      <c r="J517" s="527">
        <v>6792648</v>
      </c>
      <c r="K517" s="527">
        <v>747191</v>
      </c>
      <c r="L517" s="336">
        <f t="shared" si="168"/>
        <v>7539839</v>
      </c>
      <c r="M517" s="316">
        <f t="shared" si="169"/>
        <v>7539840</v>
      </c>
    </row>
    <row r="518" spans="1:13" s="248" customFormat="1" x14ac:dyDescent="0.25">
      <c r="A518" s="264">
        <v>45154</v>
      </c>
      <c r="B518" s="433">
        <v>45149</v>
      </c>
      <c r="C518" s="328" t="s">
        <v>5973</v>
      </c>
      <c r="D518" s="524" t="s">
        <v>297</v>
      </c>
      <c r="E518" s="523" t="s">
        <v>369</v>
      </c>
      <c r="F518" s="262" t="s">
        <v>395</v>
      </c>
      <c r="G518" s="247" t="s">
        <v>6041</v>
      </c>
      <c r="H518" s="316">
        <v>3887340.625</v>
      </c>
      <c r="I518" s="317">
        <v>0</v>
      </c>
      <c r="J518" s="527">
        <v>3502108</v>
      </c>
      <c r="K518" s="527">
        <v>385231</v>
      </c>
      <c r="L518" s="336">
        <f t="shared" si="168"/>
        <v>3887339</v>
      </c>
      <c r="M518" s="316">
        <f t="shared" si="169"/>
        <v>3887340.625</v>
      </c>
    </row>
    <row r="519" spans="1:13" s="248" customFormat="1" x14ac:dyDescent="0.25">
      <c r="A519" s="264">
        <v>45154</v>
      </c>
      <c r="B519" s="433">
        <v>45150</v>
      </c>
      <c r="C519" s="328" t="s">
        <v>5974</v>
      </c>
      <c r="D519" s="524" t="s">
        <v>297</v>
      </c>
      <c r="E519" s="523" t="s">
        <v>369</v>
      </c>
      <c r="F519" s="262" t="s">
        <v>395</v>
      </c>
      <c r="G519" s="247" t="s">
        <v>6042</v>
      </c>
      <c r="H519" s="316">
        <v>27248873.75</v>
      </c>
      <c r="I519" s="317">
        <v>0</v>
      </c>
      <c r="J519" s="527">
        <v>24548534</v>
      </c>
      <c r="K519" s="527">
        <v>2700338</v>
      </c>
      <c r="L519" s="336">
        <f t="shared" si="168"/>
        <v>27248872</v>
      </c>
      <c r="M519" s="316">
        <f t="shared" si="169"/>
        <v>27248873.75</v>
      </c>
    </row>
    <row r="520" spans="1:13" s="248" customFormat="1" x14ac:dyDescent="0.25">
      <c r="A520" s="264">
        <v>45154</v>
      </c>
      <c r="B520" s="433">
        <v>45150</v>
      </c>
      <c r="C520" s="328" t="s">
        <v>5975</v>
      </c>
      <c r="D520" s="524" t="s">
        <v>297</v>
      </c>
      <c r="E520" s="523" t="s">
        <v>369</v>
      </c>
      <c r="F520" s="262" t="s">
        <v>395</v>
      </c>
      <c r="G520" s="247" t="s">
        <v>6043</v>
      </c>
      <c r="H520" s="316">
        <v>2214450</v>
      </c>
      <c r="I520" s="317">
        <v>0</v>
      </c>
      <c r="J520" s="527">
        <v>1995000</v>
      </c>
      <c r="K520" s="527">
        <v>219450</v>
      </c>
      <c r="L520" s="336">
        <f t="shared" si="168"/>
        <v>2214450</v>
      </c>
      <c r="M520" s="316">
        <f t="shared" si="169"/>
        <v>2214450</v>
      </c>
    </row>
    <row r="521" spans="1:13" s="248" customFormat="1" x14ac:dyDescent="0.25">
      <c r="A521" s="264">
        <v>45156</v>
      </c>
      <c r="B521" s="433">
        <v>45152</v>
      </c>
      <c r="C521" s="328" t="s">
        <v>5976</v>
      </c>
      <c r="D521" s="524" t="s">
        <v>297</v>
      </c>
      <c r="E521" s="523" t="s">
        <v>369</v>
      </c>
      <c r="F521" s="262" t="s">
        <v>395</v>
      </c>
      <c r="G521" s="247" t="s">
        <v>6044</v>
      </c>
      <c r="H521" s="316">
        <v>28763910</v>
      </c>
      <c r="I521" s="317">
        <v>0</v>
      </c>
      <c r="J521" s="527">
        <v>25913432</v>
      </c>
      <c r="K521" s="527">
        <v>2850477</v>
      </c>
      <c r="L521" s="336">
        <f t="shared" si="168"/>
        <v>28763909</v>
      </c>
      <c r="M521" s="316">
        <f t="shared" si="169"/>
        <v>28763910</v>
      </c>
    </row>
    <row r="522" spans="1:13" s="248" customFormat="1" x14ac:dyDescent="0.25">
      <c r="A522" s="264">
        <v>45156</v>
      </c>
      <c r="B522" s="433">
        <v>45152</v>
      </c>
      <c r="C522" s="328" t="s">
        <v>5977</v>
      </c>
      <c r="D522" s="524" t="s">
        <v>297</v>
      </c>
      <c r="E522" s="523" t="s">
        <v>369</v>
      </c>
      <c r="F522" s="262" t="s">
        <v>395</v>
      </c>
      <c r="G522" s="247" t="s">
        <v>6045</v>
      </c>
      <c r="H522" s="316">
        <v>5337622.5</v>
      </c>
      <c r="I522" s="317">
        <v>0</v>
      </c>
      <c r="J522" s="527">
        <v>4808668</v>
      </c>
      <c r="K522" s="527">
        <v>528953</v>
      </c>
      <c r="L522" s="336">
        <f t="shared" si="168"/>
        <v>5337621</v>
      </c>
      <c r="M522" s="316">
        <f t="shared" si="169"/>
        <v>5337622.5</v>
      </c>
    </row>
    <row r="523" spans="1:13" s="248" customFormat="1" x14ac:dyDescent="0.25">
      <c r="A523" s="264">
        <v>45156</v>
      </c>
      <c r="B523" s="433">
        <v>45152</v>
      </c>
      <c r="C523" s="328" t="s">
        <v>5978</v>
      </c>
      <c r="D523" s="524" t="s">
        <v>297</v>
      </c>
      <c r="E523" s="523" t="s">
        <v>369</v>
      </c>
      <c r="F523" s="262" t="s">
        <v>395</v>
      </c>
      <c r="G523" s="247" t="s">
        <v>6046</v>
      </c>
      <c r="H523" s="316">
        <v>3107212.5</v>
      </c>
      <c r="I523" s="317">
        <v>0</v>
      </c>
      <c r="J523" s="527">
        <v>2799290</v>
      </c>
      <c r="K523" s="527">
        <v>307921</v>
      </c>
      <c r="L523" s="336">
        <f t="shared" si="168"/>
        <v>3107211</v>
      </c>
      <c r="M523" s="316">
        <f t="shared" si="169"/>
        <v>3107212.5</v>
      </c>
    </row>
    <row r="524" spans="1:13" s="248" customFormat="1" x14ac:dyDescent="0.25">
      <c r="A524" s="264">
        <v>45159</v>
      </c>
      <c r="B524" s="433">
        <v>45154</v>
      </c>
      <c r="C524" s="328" t="s">
        <v>5979</v>
      </c>
      <c r="D524" s="524" t="s">
        <v>297</v>
      </c>
      <c r="E524" s="523" t="s">
        <v>369</v>
      </c>
      <c r="F524" s="262" t="s">
        <v>395</v>
      </c>
      <c r="G524" s="247" t="s">
        <v>6255</v>
      </c>
      <c r="H524" s="316">
        <v>2681280</v>
      </c>
      <c r="I524" s="317">
        <v>0</v>
      </c>
      <c r="J524" s="527">
        <v>2415567</v>
      </c>
      <c r="K524" s="527">
        <v>265712</v>
      </c>
      <c r="L524" s="336">
        <f t="shared" si="168"/>
        <v>2681279</v>
      </c>
      <c r="M524" s="316">
        <f t="shared" si="169"/>
        <v>2681280</v>
      </c>
    </row>
    <row r="525" spans="1:13" s="248" customFormat="1" x14ac:dyDescent="0.25">
      <c r="A525" s="264">
        <v>45161</v>
      </c>
      <c r="B525" s="433">
        <v>45156</v>
      </c>
      <c r="C525" s="328" t="s">
        <v>5980</v>
      </c>
      <c r="D525" s="524" t="s">
        <v>297</v>
      </c>
      <c r="E525" s="523" t="s">
        <v>369</v>
      </c>
      <c r="F525" s="262" t="s">
        <v>395</v>
      </c>
      <c r="G525" s="247" t="s">
        <v>6256</v>
      </c>
      <c r="H525" s="316">
        <v>6619410</v>
      </c>
      <c r="I525" s="317">
        <v>0</v>
      </c>
      <c r="J525" s="527">
        <v>5963432</v>
      </c>
      <c r="K525" s="527">
        <v>655977</v>
      </c>
      <c r="L525" s="336">
        <f t="shared" si="168"/>
        <v>6619409</v>
      </c>
      <c r="M525" s="316">
        <f t="shared" si="169"/>
        <v>6619410</v>
      </c>
    </row>
    <row r="526" spans="1:13" s="248" customFormat="1" x14ac:dyDescent="0.25">
      <c r="A526" s="264">
        <v>45161</v>
      </c>
      <c r="B526" s="433">
        <v>45156</v>
      </c>
      <c r="C526" s="328" t="s">
        <v>5981</v>
      </c>
      <c r="D526" s="524" t="s">
        <v>297</v>
      </c>
      <c r="E526" s="523" t="s">
        <v>369</v>
      </c>
      <c r="F526" s="262" t="s">
        <v>395</v>
      </c>
      <c r="G526" s="247" t="s">
        <v>6257</v>
      </c>
      <c r="H526" s="316">
        <v>2061832.5</v>
      </c>
      <c r="I526" s="317">
        <v>0</v>
      </c>
      <c r="J526" s="527">
        <v>1857506</v>
      </c>
      <c r="K526" s="527">
        <v>204325</v>
      </c>
      <c r="L526" s="336">
        <f t="shared" si="168"/>
        <v>2061831</v>
      </c>
      <c r="M526" s="316">
        <f t="shared" si="169"/>
        <v>2061832.5</v>
      </c>
    </row>
    <row r="527" spans="1:13" s="248" customFormat="1" x14ac:dyDescent="0.25">
      <c r="A527" s="264">
        <v>45161</v>
      </c>
      <c r="B527" s="433">
        <v>45159</v>
      </c>
      <c r="C527" s="328" t="s">
        <v>5982</v>
      </c>
      <c r="D527" s="524" t="s">
        <v>297</v>
      </c>
      <c r="E527" s="523" t="s">
        <v>369</v>
      </c>
      <c r="F527" s="262" t="s">
        <v>395</v>
      </c>
      <c r="G527" s="247" t="s">
        <v>6258</v>
      </c>
      <c r="H527" s="316">
        <v>3638880</v>
      </c>
      <c r="I527" s="317">
        <v>0</v>
      </c>
      <c r="J527" s="527">
        <v>3278270</v>
      </c>
      <c r="K527" s="527">
        <v>360609</v>
      </c>
      <c r="L527" s="336">
        <f t="shared" si="168"/>
        <v>3638879</v>
      </c>
      <c r="M527" s="316">
        <f t="shared" si="169"/>
        <v>3638880</v>
      </c>
    </row>
    <row r="528" spans="1:13" s="248" customFormat="1" x14ac:dyDescent="0.25">
      <c r="A528" s="264">
        <v>45161</v>
      </c>
      <c r="B528" s="433">
        <v>45159</v>
      </c>
      <c r="C528" s="328" t="s">
        <v>5983</v>
      </c>
      <c r="D528" s="524" t="s">
        <v>297</v>
      </c>
      <c r="E528" s="523" t="s">
        <v>369</v>
      </c>
      <c r="F528" s="262" t="s">
        <v>395</v>
      </c>
      <c r="G528" s="247" t="s">
        <v>6259</v>
      </c>
      <c r="H528" s="316">
        <v>6383002.5</v>
      </c>
      <c r="I528" s="317">
        <v>0</v>
      </c>
      <c r="J528" s="527">
        <v>5963432</v>
      </c>
      <c r="K528" s="527">
        <v>655977</v>
      </c>
      <c r="L528" s="336">
        <f t="shared" si="168"/>
        <v>6619409</v>
      </c>
      <c r="M528" s="316">
        <f t="shared" si="169"/>
        <v>6383002.5</v>
      </c>
    </row>
    <row r="529" spans="1:13" s="248" customFormat="1" x14ac:dyDescent="0.25">
      <c r="A529" s="264">
        <v>45161</v>
      </c>
      <c r="B529" s="433">
        <v>45159</v>
      </c>
      <c r="C529" s="328" t="s">
        <v>5984</v>
      </c>
      <c r="D529" s="524" t="s">
        <v>297</v>
      </c>
      <c r="E529" s="523" t="s">
        <v>369</v>
      </c>
      <c r="F529" s="262" t="s">
        <v>395</v>
      </c>
      <c r="G529" s="247" t="s">
        <v>6260</v>
      </c>
      <c r="H529" s="316">
        <v>1891260</v>
      </c>
      <c r="I529" s="317">
        <v>0</v>
      </c>
      <c r="J529" s="527">
        <v>1703837</v>
      </c>
      <c r="K529" s="527">
        <v>187422</v>
      </c>
      <c r="L529" s="336">
        <f t="shared" si="168"/>
        <v>1891259</v>
      </c>
      <c r="M529" s="316">
        <f t="shared" si="169"/>
        <v>1891260</v>
      </c>
    </row>
    <row r="530" spans="1:13" s="248" customFormat="1" x14ac:dyDescent="0.25">
      <c r="A530" s="264">
        <v>45010</v>
      </c>
      <c r="B530" s="433">
        <v>45160</v>
      </c>
      <c r="C530" s="328" t="s">
        <v>5985</v>
      </c>
      <c r="D530" s="524" t="s">
        <v>297</v>
      </c>
      <c r="E530" s="523" t="s">
        <v>369</v>
      </c>
      <c r="F530" s="262" t="s">
        <v>395</v>
      </c>
      <c r="G530" s="247" t="s">
        <v>6261</v>
      </c>
      <c r="H530" s="316">
        <v>11744565</v>
      </c>
      <c r="I530" s="317">
        <v>0</v>
      </c>
      <c r="J530" s="527">
        <v>10580689</v>
      </c>
      <c r="K530" s="527">
        <v>1163875</v>
      </c>
      <c r="L530" s="336">
        <f t="shared" si="168"/>
        <v>11744564</v>
      </c>
      <c r="M530" s="316">
        <f t="shared" si="169"/>
        <v>11744565</v>
      </c>
    </row>
    <row r="531" spans="1:13" s="248" customFormat="1" x14ac:dyDescent="0.25">
      <c r="A531" s="264">
        <v>45010</v>
      </c>
      <c r="B531" s="433">
        <v>45160</v>
      </c>
      <c r="C531" s="328" t="s">
        <v>5986</v>
      </c>
      <c r="D531" s="524" t="s">
        <v>297</v>
      </c>
      <c r="E531" s="523" t="s">
        <v>369</v>
      </c>
      <c r="F531" s="262" t="s">
        <v>395</v>
      </c>
      <c r="G531" s="247" t="s">
        <v>6262</v>
      </c>
      <c r="H531" s="316">
        <v>3782520</v>
      </c>
      <c r="I531" s="317">
        <v>0</v>
      </c>
      <c r="J531" s="527">
        <v>3407675</v>
      </c>
      <c r="K531" s="527">
        <v>374844</v>
      </c>
      <c r="L531" s="336">
        <f t="shared" si="168"/>
        <v>3782519</v>
      </c>
      <c r="M531" s="316">
        <f t="shared" si="169"/>
        <v>3782520</v>
      </c>
    </row>
    <row r="532" spans="1:13" s="248" customFormat="1" x14ac:dyDescent="0.25">
      <c r="A532" s="264">
        <v>45166</v>
      </c>
      <c r="B532" s="433">
        <v>45161</v>
      </c>
      <c r="C532" s="328" t="s">
        <v>6264</v>
      </c>
      <c r="D532" s="524" t="s">
        <v>297</v>
      </c>
      <c r="E532" s="523" t="s">
        <v>369</v>
      </c>
      <c r="F532" s="262" t="s">
        <v>395</v>
      </c>
      <c r="G532" s="247" t="s">
        <v>6263</v>
      </c>
      <c r="H532" s="316">
        <v>10342080</v>
      </c>
      <c r="I532" s="317">
        <v>0</v>
      </c>
      <c r="J532" s="527">
        <v>9317189</v>
      </c>
      <c r="K532" s="527">
        <v>1024890</v>
      </c>
      <c r="L532" s="336">
        <f t="shared" si="168"/>
        <v>10342079</v>
      </c>
      <c r="M532" s="316">
        <f t="shared" si="169"/>
        <v>10342080</v>
      </c>
    </row>
    <row r="533" spans="1:13" s="248" customFormat="1" x14ac:dyDescent="0.25">
      <c r="A533" s="264">
        <v>45166</v>
      </c>
      <c r="B533" s="433">
        <v>45162</v>
      </c>
      <c r="C533" s="328" t="s">
        <v>6008</v>
      </c>
      <c r="D533" s="524" t="s">
        <v>297</v>
      </c>
      <c r="E533" s="523" t="s">
        <v>369</v>
      </c>
      <c r="F533" s="262" t="s">
        <v>395</v>
      </c>
      <c r="G533" s="247" t="s">
        <v>6265</v>
      </c>
      <c r="H533" s="316">
        <v>644218.75</v>
      </c>
      <c r="I533" s="317">
        <v>0</v>
      </c>
      <c r="J533" s="527">
        <v>580377</v>
      </c>
      <c r="K533" s="527">
        <v>63841</v>
      </c>
      <c r="L533" s="336">
        <f t="shared" ref="L533:L559" si="172">SUM(J533:K533)</f>
        <v>644218</v>
      </c>
      <c r="M533" s="316">
        <f t="shared" ref="M533:M559" si="173">H533-I533</f>
        <v>644218.75</v>
      </c>
    </row>
    <row r="534" spans="1:13" s="248" customFormat="1" x14ac:dyDescent="0.25">
      <c r="A534" s="264">
        <v>45166</v>
      </c>
      <c r="B534" s="433">
        <v>45163</v>
      </c>
      <c r="C534" s="328" t="s">
        <v>6009</v>
      </c>
      <c r="D534" s="524" t="s">
        <v>297</v>
      </c>
      <c r="E534" s="523" t="s">
        <v>369</v>
      </c>
      <c r="F534" s="262" t="s">
        <v>395</v>
      </c>
      <c r="G534" s="247" t="s">
        <v>6266</v>
      </c>
      <c r="H534" s="316">
        <v>8837850</v>
      </c>
      <c r="I534" s="317">
        <v>0</v>
      </c>
      <c r="J534" s="527">
        <v>7962027</v>
      </c>
      <c r="K534" s="527">
        <v>875822</v>
      </c>
      <c r="L534" s="336">
        <f t="shared" si="172"/>
        <v>8837849</v>
      </c>
      <c r="M534" s="316">
        <f t="shared" si="173"/>
        <v>8837850</v>
      </c>
    </row>
    <row r="535" spans="1:13" s="248" customFormat="1" x14ac:dyDescent="0.25">
      <c r="A535" s="264">
        <v>45169</v>
      </c>
      <c r="B535" s="433">
        <v>45164</v>
      </c>
      <c r="C535" s="328" t="s">
        <v>6010</v>
      </c>
      <c r="D535" s="524" t="s">
        <v>297</v>
      </c>
      <c r="E535" s="523" t="s">
        <v>369</v>
      </c>
      <c r="F535" s="262" t="s">
        <v>395</v>
      </c>
      <c r="G535" s="247" t="s">
        <v>6267</v>
      </c>
      <c r="H535" s="316">
        <v>1755600</v>
      </c>
      <c r="I535" s="317">
        <v>0</v>
      </c>
      <c r="J535" s="527">
        <v>1581621</v>
      </c>
      <c r="K535" s="527">
        <v>173978</v>
      </c>
      <c r="L535" s="336">
        <f t="shared" si="172"/>
        <v>1755599</v>
      </c>
      <c r="M535" s="316">
        <f t="shared" si="173"/>
        <v>1755600</v>
      </c>
    </row>
    <row r="536" spans="1:13" s="248" customFormat="1" x14ac:dyDescent="0.25">
      <c r="A536" s="264">
        <v>45169</v>
      </c>
      <c r="B536" s="433">
        <v>45166</v>
      </c>
      <c r="C536" s="328" t="s">
        <v>6011</v>
      </c>
      <c r="D536" s="524" t="s">
        <v>297</v>
      </c>
      <c r="E536" s="523" t="s">
        <v>369</v>
      </c>
      <c r="F536" s="262" t="s">
        <v>395</v>
      </c>
      <c r="G536" s="247" t="s">
        <v>6268</v>
      </c>
      <c r="H536" s="316">
        <v>3207960</v>
      </c>
      <c r="I536" s="317">
        <v>0</v>
      </c>
      <c r="J536" s="527">
        <v>2890054</v>
      </c>
      <c r="K536" s="527">
        <v>317905</v>
      </c>
      <c r="L536" s="336">
        <f t="shared" si="172"/>
        <v>3207959</v>
      </c>
      <c r="M536" s="316">
        <f t="shared" si="173"/>
        <v>3207960</v>
      </c>
    </row>
    <row r="537" spans="1:13" s="248" customFormat="1" x14ac:dyDescent="0.25">
      <c r="A537" s="264">
        <v>45169</v>
      </c>
      <c r="B537" s="433">
        <v>45167</v>
      </c>
      <c r="C537" s="328" t="s">
        <v>6012</v>
      </c>
      <c r="D537" s="524" t="s">
        <v>297</v>
      </c>
      <c r="E537" s="523" t="s">
        <v>369</v>
      </c>
      <c r="F537" s="262" t="s">
        <v>395</v>
      </c>
      <c r="G537" s="247" t="s">
        <v>6269</v>
      </c>
      <c r="H537" s="316">
        <v>5326650</v>
      </c>
      <c r="I537" s="317">
        <v>0</v>
      </c>
      <c r="J537" s="527">
        <v>4798783</v>
      </c>
      <c r="K537" s="527">
        <v>527866</v>
      </c>
      <c r="L537" s="336">
        <f t="shared" si="172"/>
        <v>5326649</v>
      </c>
      <c r="M537" s="316">
        <f t="shared" si="173"/>
        <v>5326650</v>
      </c>
    </row>
    <row r="538" spans="1:13" s="248" customFormat="1" x14ac:dyDescent="0.25">
      <c r="A538" s="264">
        <v>45169</v>
      </c>
      <c r="B538" s="433">
        <v>45167</v>
      </c>
      <c r="C538" s="328" t="s">
        <v>6013</v>
      </c>
      <c r="D538" s="524" t="s">
        <v>297</v>
      </c>
      <c r="E538" s="523" t="s">
        <v>369</v>
      </c>
      <c r="F538" s="262" t="s">
        <v>395</v>
      </c>
      <c r="G538" s="247" t="s">
        <v>6270</v>
      </c>
      <c r="H538" s="316">
        <v>6545096.25</v>
      </c>
      <c r="I538" s="317">
        <v>0</v>
      </c>
      <c r="J538" s="527">
        <v>5896483</v>
      </c>
      <c r="K538" s="527">
        <v>648613</v>
      </c>
      <c r="L538" s="336">
        <f t="shared" si="172"/>
        <v>6545096</v>
      </c>
      <c r="M538" s="316">
        <f t="shared" si="173"/>
        <v>6545096.25</v>
      </c>
    </row>
    <row r="539" spans="1:13" s="248" customFormat="1" x14ac:dyDescent="0.25">
      <c r="A539" s="264">
        <v>45171</v>
      </c>
      <c r="B539" s="433">
        <v>45168</v>
      </c>
      <c r="C539" s="328" t="s">
        <v>6124</v>
      </c>
      <c r="D539" s="524" t="s">
        <v>297</v>
      </c>
      <c r="E539" s="523" t="s">
        <v>369</v>
      </c>
      <c r="F539" s="262" t="s">
        <v>395</v>
      </c>
      <c r="G539" s="247" t="s">
        <v>6271</v>
      </c>
      <c r="H539" s="316">
        <v>10765020</v>
      </c>
      <c r="I539" s="317">
        <v>0</v>
      </c>
      <c r="J539" s="527">
        <v>9698216</v>
      </c>
      <c r="K539" s="527">
        <v>1066803</v>
      </c>
      <c r="L539" s="336">
        <f t="shared" si="172"/>
        <v>10765019</v>
      </c>
      <c r="M539" s="316">
        <f t="shared" si="173"/>
        <v>10765020</v>
      </c>
    </row>
    <row r="540" spans="1:13" s="248" customFormat="1" x14ac:dyDescent="0.25">
      <c r="A540" s="264">
        <v>45154</v>
      </c>
      <c r="B540" s="433">
        <v>45149</v>
      </c>
      <c r="C540" s="328" t="s">
        <v>5987</v>
      </c>
      <c r="D540" s="263" t="s">
        <v>299</v>
      </c>
      <c r="E540" s="265" t="s">
        <v>372</v>
      </c>
      <c r="F540" s="262" t="s">
        <v>6274</v>
      </c>
      <c r="G540" s="247" t="s">
        <v>6272</v>
      </c>
      <c r="H540" s="316">
        <v>12568500</v>
      </c>
      <c r="I540" s="317">
        <v>0</v>
      </c>
      <c r="J540" s="527">
        <v>11322972</v>
      </c>
      <c r="K540" s="527">
        <v>1245527</v>
      </c>
      <c r="L540" s="336">
        <f t="shared" si="172"/>
        <v>12568499</v>
      </c>
      <c r="M540" s="316">
        <f t="shared" si="173"/>
        <v>12568500</v>
      </c>
    </row>
    <row r="541" spans="1:13" s="248" customFormat="1" x14ac:dyDescent="0.25">
      <c r="A541" s="264">
        <v>45156</v>
      </c>
      <c r="B541" s="433">
        <v>45152</v>
      </c>
      <c r="C541" s="328" t="s">
        <v>5988</v>
      </c>
      <c r="D541" s="263" t="s">
        <v>299</v>
      </c>
      <c r="E541" s="265" t="s">
        <v>372</v>
      </c>
      <c r="F541" s="262" t="s">
        <v>6274</v>
      </c>
      <c r="G541" s="247" t="s">
        <v>6273</v>
      </c>
      <c r="H541" s="316">
        <v>4688250</v>
      </c>
      <c r="I541" s="317">
        <v>0</v>
      </c>
      <c r="J541" s="527">
        <v>4223648</v>
      </c>
      <c r="K541" s="527">
        <v>464601</v>
      </c>
      <c r="L541" s="336">
        <f t="shared" si="172"/>
        <v>4688249</v>
      </c>
      <c r="M541" s="316">
        <f t="shared" si="173"/>
        <v>4688250</v>
      </c>
    </row>
    <row r="542" spans="1:13" s="248" customFormat="1" x14ac:dyDescent="0.25">
      <c r="A542" s="264">
        <v>45148</v>
      </c>
      <c r="B542" s="433">
        <v>45146</v>
      </c>
      <c r="C542" s="328" t="s">
        <v>5963</v>
      </c>
      <c r="D542" s="263" t="s">
        <v>5996</v>
      </c>
      <c r="E542" s="265" t="s">
        <v>5964</v>
      </c>
      <c r="F542" s="262" t="s">
        <v>5997</v>
      </c>
      <c r="G542" s="247" t="s">
        <v>6237</v>
      </c>
      <c r="H542" s="316">
        <v>50880000</v>
      </c>
      <c r="I542" s="317">
        <v>1526400</v>
      </c>
      <c r="J542" s="527">
        <v>44462703</v>
      </c>
      <c r="K542" s="527">
        <v>4890897</v>
      </c>
      <c r="L542" s="336">
        <f>SUM(J542:K542)</f>
        <v>49353600</v>
      </c>
      <c r="M542" s="316">
        <f>H542-I542</f>
        <v>49353600</v>
      </c>
    </row>
    <row r="543" spans="1:13" s="248" customFormat="1" x14ac:dyDescent="0.25">
      <c r="A543" s="264">
        <v>45147</v>
      </c>
      <c r="B543" s="433">
        <v>45145</v>
      </c>
      <c r="C543" s="328" t="s">
        <v>5944</v>
      </c>
      <c r="D543" s="263" t="s">
        <v>397</v>
      </c>
      <c r="E543" s="265" t="s">
        <v>7135</v>
      </c>
      <c r="F543" s="262" t="s">
        <v>396</v>
      </c>
      <c r="G543" s="247" t="s">
        <v>5999</v>
      </c>
      <c r="H543" s="316">
        <v>8687970</v>
      </c>
      <c r="I543" s="317">
        <v>0</v>
      </c>
      <c r="J543" s="527">
        <v>7827000</v>
      </c>
      <c r="K543" s="527">
        <v>860970</v>
      </c>
      <c r="L543" s="336">
        <f t="shared" si="172"/>
        <v>8687970</v>
      </c>
      <c r="M543" s="316">
        <f>H543-I543</f>
        <v>8687970</v>
      </c>
    </row>
    <row r="544" spans="1:13" s="248" customFormat="1" x14ac:dyDescent="0.25">
      <c r="A544" s="264">
        <v>45160</v>
      </c>
      <c r="B544" s="433">
        <v>45159</v>
      </c>
      <c r="C544" s="328" t="s">
        <v>6007</v>
      </c>
      <c r="D544" s="263" t="s">
        <v>397</v>
      </c>
      <c r="E544" s="265" t="s">
        <v>7135</v>
      </c>
      <c r="F544" s="262" t="s">
        <v>396</v>
      </c>
      <c r="G544" s="247" t="s">
        <v>6238</v>
      </c>
      <c r="H544" s="316">
        <v>11622810</v>
      </c>
      <c r="I544" s="317">
        <v>0</v>
      </c>
      <c r="J544" s="527">
        <v>10471000</v>
      </c>
      <c r="K544" s="527">
        <f>J544*11%</f>
        <v>1151810</v>
      </c>
      <c r="L544" s="336">
        <f>SUM(J544:K544)</f>
        <v>11622810</v>
      </c>
      <c r="M544" s="316">
        <f>H544-I544</f>
        <v>11622810</v>
      </c>
    </row>
    <row r="545" spans="1:13" s="248" customFormat="1" x14ac:dyDescent="0.25">
      <c r="A545" s="264">
        <v>45152</v>
      </c>
      <c r="B545" s="433">
        <v>45149</v>
      </c>
      <c r="C545" s="328" t="s">
        <v>6249</v>
      </c>
      <c r="D545" s="263" t="s">
        <v>303</v>
      </c>
      <c r="E545" s="265" t="s">
        <v>373</v>
      </c>
      <c r="F545" s="262" t="s">
        <v>4317</v>
      </c>
      <c r="G545" s="247" t="s">
        <v>6002</v>
      </c>
      <c r="H545" s="316">
        <v>28000000</v>
      </c>
      <c r="I545" s="317">
        <v>2800000</v>
      </c>
      <c r="J545" s="527">
        <v>22702720</v>
      </c>
      <c r="K545" s="527">
        <v>2497299</v>
      </c>
      <c r="L545" s="336">
        <f t="shared" si="172"/>
        <v>25200019</v>
      </c>
      <c r="M545" s="316">
        <f t="shared" si="173"/>
        <v>25200000</v>
      </c>
    </row>
    <row r="546" spans="1:13" s="248" customFormat="1" x14ac:dyDescent="0.25">
      <c r="A546" s="264">
        <v>45139</v>
      </c>
      <c r="B546" s="433">
        <v>45139</v>
      </c>
      <c r="C546" s="328" t="s">
        <v>5945</v>
      </c>
      <c r="D546" s="263" t="s">
        <v>376</v>
      </c>
      <c r="E546" s="265" t="s">
        <v>377</v>
      </c>
      <c r="F546" s="262" t="s">
        <v>4316</v>
      </c>
      <c r="G546" s="247" t="s">
        <v>6211</v>
      </c>
      <c r="H546" s="316">
        <v>25884000</v>
      </c>
      <c r="I546" s="317">
        <v>4400280</v>
      </c>
      <c r="J546" s="527">
        <v>19354702</v>
      </c>
      <c r="K546" s="527">
        <v>2129017</v>
      </c>
      <c r="L546" s="336">
        <f t="shared" si="172"/>
        <v>21483719</v>
      </c>
      <c r="M546" s="316">
        <f t="shared" si="173"/>
        <v>21483720</v>
      </c>
    </row>
    <row r="547" spans="1:13" s="248" customFormat="1" x14ac:dyDescent="0.25">
      <c r="A547" s="264">
        <v>45139</v>
      </c>
      <c r="B547" s="433">
        <v>45139</v>
      </c>
      <c r="C547" s="328" t="s">
        <v>5946</v>
      </c>
      <c r="D547" s="263" t="s">
        <v>376</v>
      </c>
      <c r="E547" s="265" t="s">
        <v>377</v>
      </c>
      <c r="F547" s="262" t="s">
        <v>4316</v>
      </c>
      <c r="G547" s="247" t="s">
        <v>6212</v>
      </c>
      <c r="H547" s="316">
        <v>15442800</v>
      </c>
      <c r="I547" s="317">
        <v>2625276</v>
      </c>
      <c r="J547" s="527">
        <v>11547318</v>
      </c>
      <c r="K547" s="527">
        <v>1270205</v>
      </c>
      <c r="L547" s="336">
        <f t="shared" si="172"/>
        <v>12817523</v>
      </c>
      <c r="M547" s="316">
        <f t="shared" si="173"/>
        <v>12817524</v>
      </c>
    </row>
    <row r="548" spans="1:13" s="248" customFormat="1" x14ac:dyDescent="0.25">
      <c r="A548" s="264">
        <v>45139</v>
      </c>
      <c r="B548" s="433">
        <v>45139</v>
      </c>
      <c r="C548" s="328" t="s">
        <v>5947</v>
      </c>
      <c r="D548" s="263" t="s">
        <v>376</v>
      </c>
      <c r="E548" s="265" t="s">
        <v>377</v>
      </c>
      <c r="F548" s="262" t="s">
        <v>4316</v>
      </c>
      <c r="G548" s="247" t="s">
        <v>6213</v>
      </c>
      <c r="H548" s="316">
        <v>17856000</v>
      </c>
      <c r="I548" s="317">
        <v>3035520</v>
      </c>
      <c r="J548" s="527">
        <v>13351783</v>
      </c>
      <c r="K548" s="527">
        <v>1468696</v>
      </c>
      <c r="L548" s="336">
        <f t="shared" si="172"/>
        <v>14820479</v>
      </c>
      <c r="M548" s="316">
        <f t="shared" si="173"/>
        <v>14820480</v>
      </c>
    </row>
    <row r="549" spans="1:13" s="248" customFormat="1" x14ac:dyDescent="0.25">
      <c r="A549" s="264">
        <v>45142</v>
      </c>
      <c r="B549" s="433">
        <v>45139</v>
      </c>
      <c r="C549" s="328" t="s">
        <v>5948</v>
      </c>
      <c r="D549" s="263" t="s">
        <v>376</v>
      </c>
      <c r="E549" s="265" t="s">
        <v>377</v>
      </c>
      <c r="F549" s="262" t="s">
        <v>4316</v>
      </c>
      <c r="G549" s="247" t="s">
        <v>6214</v>
      </c>
      <c r="H549" s="316">
        <v>26358000</v>
      </c>
      <c r="I549" s="317">
        <v>4480860.0000000009</v>
      </c>
      <c r="J549" s="527">
        <v>19709135</v>
      </c>
      <c r="K549" s="527">
        <v>2168004</v>
      </c>
      <c r="L549" s="336">
        <f t="shared" si="172"/>
        <v>21877139</v>
      </c>
      <c r="M549" s="316">
        <f t="shared" si="173"/>
        <v>21877140</v>
      </c>
    </row>
    <row r="550" spans="1:13" s="248" customFormat="1" x14ac:dyDescent="0.25">
      <c r="A550" s="264">
        <v>45146</v>
      </c>
      <c r="B550" s="433">
        <v>45141</v>
      </c>
      <c r="C550" s="328" t="s">
        <v>6250</v>
      </c>
      <c r="D550" s="263" t="s">
        <v>376</v>
      </c>
      <c r="E550" s="265" t="s">
        <v>377</v>
      </c>
      <c r="F550" s="262" t="s">
        <v>4316</v>
      </c>
      <c r="G550" s="247" t="s">
        <v>6215</v>
      </c>
      <c r="H550" s="316">
        <v>46333200</v>
      </c>
      <c r="I550" s="317">
        <v>7876644</v>
      </c>
      <c r="J550" s="527">
        <v>34645545</v>
      </c>
      <c r="K550" s="527">
        <v>3811010</v>
      </c>
      <c r="L550" s="336">
        <f t="shared" si="172"/>
        <v>38456555</v>
      </c>
      <c r="M550" s="316">
        <f t="shared" si="173"/>
        <v>38456556</v>
      </c>
    </row>
    <row r="551" spans="1:13" s="248" customFormat="1" x14ac:dyDescent="0.25">
      <c r="A551" s="264">
        <v>45146</v>
      </c>
      <c r="B551" s="433">
        <v>45142</v>
      </c>
      <c r="C551" s="328" t="s">
        <v>6251</v>
      </c>
      <c r="D551" s="263" t="s">
        <v>376</v>
      </c>
      <c r="E551" s="265" t="s">
        <v>377</v>
      </c>
      <c r="F551" s="262" t="s">
        <v>4316</v>
      </c>
      <c r="G551" s="247" t="s">
        <v>6216</v>
      </c>
      <c r="H551" s="316">
        <v>25484400</v>
      </c>
      <c r="I551" s="317">
        <v>4332348</v>
      </c>
      <c r="J551" s="527">
        <v>19055902</v>
      </c>
      <c r="K551" s="527">
        <v>2096149</v>
      </c>
      <c r="L551" s="336">
        <f t="shared" si="172"/>
        <v>21152051</v>
      </c>
      <c r="M551" s="316">
        <f t="shared" si="173"/>
        <v>21152052</v>
      </c>
    </row>
    <row r="552" spans="1:13" s="248" customFormat="1" x14ac:dyDescent="0.25">
      <c r="A552" s="264">
        <v>45147</v>
      </c>
      <c r="B552" s="433">
        <v>45143</v>
      </c>
      <c r="C552" s="328" t="s">
        <v>5949</v>
      </c>
      <c r="D552" s="263" t="s">
        <v>376</v>
      </c>
      <c r="E552" s="265" t="s">
        <v>377</v>
      </c>
      <c r="F552" s="262" t="s">
        <v>4316</v>
      </c>
      <c r="G552" s="247" t="s">
        <v>6217</v>
      </c>
      <c r="H552" s="316">
        <v>11826000</v>
      </c>
      <c r="I552" s="317">
        <v>2010420.0000000002</v>
      </c>
      <c r="J552" s="527">
        <v>8842864</v>
      </c>
      <c r="K552" s="527">
        <v>972715</v>
      </c>
      <c r="L552" s="336">
        <f t="shared" si="172"/>
        <v>9815579</v>
      </c>
      <c r="M552" s="316">
        <f t="shared" si="173"/>
        <v>9815580</v>
      </c>
    </row>
    <row r="553" spans="1:13" s="248" customFormat="1" x14ac:dyDescent="0.25">
      <c r="A553" s="264">
        <v>45147</v>
      </c>
      <c r="B553" s="433">
        <v>45145</v>
      </c>
      <c r="C553" s="328" t="s">
        <v>5950</v>
      </c>
      <c r="D553" s="263" t="s">
        <v>376</v>
      </c>
      <c r="E553" s="265" t="s">
        <v>377</v>
      </c>
      <c r="F553" s="262" t="s">
        <v>4316</v>
      </c>
      <c r="G553" s="247" t="s">
        <v>6218</v>
      </c>
      <c r="H553" s="316">
        <v>34592400</v>
      </c>
      <c r="I553" s="317">
        <v>5880708</v>
      </c>
      <c r="J553" s="527">
        <v>25866389</v>
      </c>
      <c r="K553" s="527">
        <v>2845302</v>
      </c>
      <c r="L553" s="336">
        <f t="shared" si="172"/>
        <v>28711691</v>
      </c>
      <c r="M553" s="316">
        <f t="shared" si="173"/>
        <v>28711692</v>
      </c>
    </row>
    <row r="554" spans="1:13" s="248" customFormat="1" x14ac:dyDescent="0.25">
      <c r="A554" s="264">
        <v>45147</v>
      </c>
      <c r="B554" s="433">
        <v>45146</v>
      </c>
      <c r="C554" s="328" t="s">
        <v>5951</v>
      </c>
      <c r="D554" s="263" t="s">
        <v>376</v>
      </c>
      <c r="E554" s="265" t="s">
        <v>377</v>
      </c>
      <c r="F554" s="262" t="s">
        <v>4316</v>
      </c>
      <c r="G554" s="247" t="s">
        <v>6219</v>
      </c>
      <c r="H554" s="316">
        <v>10239600</v>
      </c>
      <c r="I554" s="317">
        <v>1740732</v>
      </c>
      <c r="J554" s="527">
        <v>7656637</v>
      </c>
      <c r="K554" s="527">
        <v>842230</v>
      </c>
      <c r="L554" s="336">
        <f t="shared" si="172"/>
        <v>8498867</v>
      </c>
      <c r="M554" s="316">
        <f t="shared" si="173"/>
        <v>8498868</v>
      </c>
    </row>
    <row r="555" spans="1:13" s="248" customFormat="1" x14ac:dyDescent="0.25">
      <c r="A555" s="264">
        <v>45148</v>
      </c>
      <c r="B555" s="433">
        <v>45147</v>
      </c>
      <c r="C555" s="328" t="s">
        <v>5952</v>
      </c>
      <c r="D555" s="263" t="s">
        <v>376</v>
      </c>
      <c r="E555" s="265" t="s">
        <v>377</v>
      </c>
      <c r="F555" s="262" t="s">
        <v>4316</v>
      </c>
      <c r="G555" s="247" t="s">
        <v>6220</v>
      </c>
      <c r="H555" s="316">
        <v>9774000</v>
      </c>
      <c r="I555" s="317">
        <v>1661580.0000000002</v>
      </c>
      <c r="J555" s="527">
        <v>7308486</v>
      </c>
      <c r="K555" s="527">
        <v>803933</v>
      </c>
      <c r="L555" s="336">
        <f t="shared" si="172"/>
        <v>8112419</v>
      </c>
      <c r="M555" s="316">
        <f t="shared" si="173"/>
        <v>8112420</v>
      </c>
    </row>
    <row r="556" spans="1:13" s="248" customFormat="1" x14ac:dyDescent="0.25">
      <c r="A556" s="264">
        <v>45154</v>
      </c>
      <c r="B556" s="433">
        <v>45148</v>
      </c>
      <c r="C556" s="328" t="s">
        <v>6252</v>
      </c>
      <c r="D556" s="263" t="s">
        <v>376</v>
      </c>
      <c r="E556" s="265" t="s">
        <v>377</v>
      </c>
      <c r="F556" s="262" t="s">
        <v>4316</v>
      </c>
      <c r="G556" s="247" t="s">
        <v>6221</v>
      </c>
      <c r="H556" s="316">
        <v>17802000</v>
      </c>
      <c r="I556" s="317">
        <v>3026340</v>
      </c>
      <c r="J556" s="527">
        <v>13311405</v>
      </c>
      <c r="K556" s="527">
        <v>1464254</v>
      </c>
      <c r="L556" s="336">
        <f>SUM(J556:K556)</f>
        <v>14775659</v>
      </c>
      <c r="M556" s="316">
        <f t="shared" si="173"/>
        <v>14775660</v>
      </c>
    </row>
    <row r="557" spans="1:13" s="248" customFormat="1" x14ac:dyDescent="0.25">
      <c r="A557" s="264">
        <v>45154</v>
      </c>
      <c r="B557" s="433">
        <v>45150</v>
      </c>
      <c r="C557" s="328" t="s">
        <v>5953</v>
      </c>
      <c r="D557" s="263" t="s">
        <v>376</v>
      </c>
      <c r="E557" s="265" t="s">
        <v>377</v>
      </c>
      <c r="F557" s="262" t="s">
        <v>4316</v>
      </c>
      <c r="G557" s="247" t="s">
        <v>6222</v>
      </c>
      <c r="H557" s="316">
        <v>60229200</v>
      </c>
      <c r="I557" s="317">
        <v>10358484</v>
      </c>
      <c r="J557" s="527">
        <v>44928572</v>
      </c>
      <c r="K557" s="527">
        <v>4942143</v>
      </c>
      <c r="L557" s="336">
        <f t="shared" si="172"/>
        <v>49870715</v>
      </c>
      <c r="M557" s="316">
        <f t="shared" si="173"/>
        <v>49870716</v>
      </c>
    </row>
    <row r="558" spans="1:13" s="248" customFormat="1" x14ac:dyDescent="0.25">
      <c r="A558" s="264">
        <v>45154</v>
      </c>
      <c r="B558" s="433">
        <v>45152</v>
      </c>
      <c r="C558" s="328" t="s">
        <v>5954</v>
      </c>
      <c r="D558" s="263" t="s">
        <v>376</v>
      </c>
      <c r="E558" s="265" t="s">
        <v>377</v>
      </c>
      <c r="F558" s="262" t="s">
        <v>4316</v>
      </c>
      <c r="G558" s="247" t="s">
        <v>6223</v>
      </c>
      <c r="H558" s="316">
        <v>15867600</v>
      </c>
      <c r="I558" s="317">
        <v>2697492</v>
      </c>
      <c r="J558" s="527">
        <v>11864962</v>
      </c>
      <c r="K558" s="527">
        <v>1305145</v>
      </c>
      <c r="L558" s="336">
        <f t="shared" si="172"/>
        <v>13170107</v>
      </c>
      <c r="M558" s="316">
        <f t="shared" si="173"/>
        <v>13170108</v>
      </c>
    </row>
    <row r="559" spans="1:13" s="248" customFormat="1" x14ac:dyDescent="0.25">
      <c r="A559" s="264">
        <v>45154</v>
      </c>
      <c r="B559" s="433">
        <v>45152</v>
      </c>
      <c r="C559" s="328" t="s">
        <v>5955</v>
      </c>
      <c r="D559" s="263" t="s">
        <v>376</v>
      </c>
      <c r="E559" s="265" t="s">
        <v>377</v>
      </c>
      <c r="F559" s="262" t="s">
        <v>4316</v>
      </c>
      <c r="G559" s="247" t="s">
        <v>6224</v>
      </c>
      <c r="H559" s="316">
        <v>19024800</v>
      </c>
      <c r="I559" s="317">
        <v>3234216</v>
      </c>
      <c r="J559" s="527">
        <v>14225751</v>
      </c>
      <c r="K559" s="527">
        <v>1564832</v>
      </c>
      <c r="L559" s="336">
        <f t="shared" si="172"/>
        <v>15790583</v>
      </c>
      <c r="M559" s="316">
        <f t="shared" si="173"/>
        <v>15790584</v>
      </c>
    </row>
    <row r="560" spans="1:13" s="248" customFormat="1" x14ac:dyDescent="0.25">
      <c r="A560" s="264">
        <v>45154</v>
      </c>
      <c r="B560" s="433">
        <v>45139</v>
      </c>
      <c r="C560" s="328" t="s">
        <v>5956</v>
      </c>
      <c r="D560" s="263" t="s">
        <v>376</v>
      </c>
      <c r="E560" s="265" t="s">
        <v>377</v>
      </c>
      <c r="F560" s="262" t="s">
        <v>4316</v>
      </c>
      <c r="G560" s="247" t="s">
        <v>6225</v>
      </c>
      <c r="H560" s="316">
        <v>12465200</v>
      </c>
      <c r="I560" s="317">
        <v>2119084</v>
      </c>
      <c r="J560" s="527">
        <v>9320825</v>
      </c>
      <c r="K560" s="527">
        <v>1025290</v>
      </c>
      <c r="L560" s="336">
        <f t="shared" ref="L560:L572" si="174">SUM(J560:K560)</f>
        <v>10346115</v>
      </c>
      <c r="M560" s="316">
        <f t="shared" ref="M560:M572" si="175">H560-I560</f>
        <v>10346116</v>
      </c>
    </row>
    <row r="561" spans="1:13" s="248" customFormat="1" x14ac:dyDescent="0.25">
      <c r="A561" s="264">
        <v>45154</v>
      </c>
      <c r="B561" s="433">
        <v>45153</v>
      </c>
      <c r="C561" s="328" t="s">
        <v>5957</v>
      </c>
      <c r="D561" s="263" t="s">
        <v>376</v>
      </c>
      <c r="E561" s="265" t="s">
        <v>377</v>
      </c>
      <c r="F561" s="262" t="s">
        <v>4316</v>
      </c>
      <c r="G561" s="247" t="s">
        <v>6226</v>
      </c>
      <c r="H561" s="316">
        <v>29754000</v>
      </c>
      <c r="I561" s="317">
        <v>5058180</v>
      </c>
      <c r="J561" s="527">
        <v>22248486</v>
      </c>
      <c r="K561" s="527">
        <v>2447333</v>
      </c>
      <c r="L561" s="336">
        <f t="shared" si="174"/>
        <v>24695819</v>
      </c>
      <c r="M561" s="316">
        <f t="shared" si="175"/>
        <v>24695820</v>
      </c>
    </row>
    <row r="562" spans="1:13" s="248" customFormat="1" x14ac:dyDescent="0.25">
      <c r="A562" s="264">
        <v>45159</v>
      </c>
      <c r="B562" s="433">
        <v>45156</v>
      </c>
      <c r="C562" s="328" t="s">
        <v>5958</v>
      </c>
      <c r="D562" s="263" t="s">
        <v>376</v>
      </c>
      <c r="E562" s="265" t="s">
        <v>377</v>
      </c>
      <c r="F562" s="262" t="s">
        <v>4316</v>
      </c>
      <c r="G562" s="247" t="s">
        <v>6227</v>
      </c>
      <c r="H562" s="316">
        <v>58122800</v>
      </c>
      <c r="I562" s="317">
        <v>10055972.800000001</v>
      </c>
      <c r="J562" s="527">
        <v>43303447</v>
      </c>
      <c r="K562" s="527">
        <v>4763379</v>
      </c>
      <c r="L562" s="336">
        <f t="shared" si="174"/>
        <v>48066826</v>
      </c>
      <c r="M562" s="316">
        <f t="shared" si="175"/>
        <v>48066827.200000003</v>
      </c>
    </row>
    <row r="563" spans="1:13" s="248" customFormat="1" x14ac:dyDescent="0.25">
      <c r="A563" s="264">
        <v>45161</v>
      </c>
      <c r="B563" s="433">
        <v>45157</v>
      </c>
      <c r="C563" s="328" t="s">
        <v>5959</v>
      </c>
      <c r="D563" s="263" t="s">
        <v>376</v>
      </c>
      <c r="E563" s="265" t="s">
        <v>377</v>
      </c>
      <c r="F563" s="262" t="s">
        <v>4316</v>
      </c>
      <c r="G563" s="247" t="s">
        <v>6228</v>
      </c>
      <c r="H563" s="316">
        <v>57518400</v>
      </c>
      <c r="I563" s="317">
        <v>9778128</v>
      </c>
      <c r="J563" s="527">
        <v>47467027</v>
      </c>
      <c r="K563" s="527">
        <v>5221372</v>
      </c>
      <c r="L563" s="336">
        <f t="shared" si="174"/>
        <v>52688399</v>
      </c>
      <c r="M563" s="316">
        <f t="shared" si="175"/>
        <v>47740272</v>
      </c>
    </row>
    <row r="564" spans="1:13" s="248" customFormat="1" x14ac:dyDescent="0.25">
      <c r="A564" s="264">
        <v>45161</v>
      </c>
      <c r="B564" s="433">
        <v>45157</v>
      </c>
      <c r="C564" s="328" t="s">
        <v>5960</v>
      </c>
      <c r="D564" s="263" t="s">
        <v>376</v>
      </c>
      <c r="E564" s="265" t="s">
        <v>377</v>
      </c>
      <c r="F564" s="262" t="s">
        <v>4316</v>
      </c>
      <c r="G564" s="247" t="s">
        <v>6229</v>
      </c>
      <c r="H564" s="316">
        <v>14098200</v>
      </c>
      <c r="I564" s="317">
        <v>2484242.4</v>
      </c>
      <c r="J564" s="527">
        <v>10463024</v>
      </c>
      <c r="K564" s="527">
        <v>1150932</v>
      </c>
      <c r="L564" s="336">
        <f t="shared" ref="L564:L571" si="176">SUM(J564:K564)</f>
        <v>11613956</v>
      </c>
      <c r="M564" s="316">
        <f t="shared" si="175"/>
        <v>11613957.6</v>
      </c>
    </row>
    <row r="565" spans="1:13" s="248" customFormat="1" x14ac:dyDescent="0.25">
      <c r="A565" s="264">
        <v>45161</v>
      </c>
      <c r="B565" s="433">
        <v>45160</v>
      </c>
      <c r="C565" s="328" t="s">
        <v>5961</v>
      </c>
      <c r="D565" s="263" t="s">
        <v>376</v>
      </c>
      <c r="E565" s="265" t="s">
        <v>377</v>
      </c>
      <c r="F565" s="262" t="s">
        <v>4316</v>
      </c>
      <c r="G565" s="247" t="s">
        <v>6230</v>
      </c>
      <c r="H565" s="316">
        <v>25904400</v>
      </c>
      <c r="I565" s="317">
        <v>4403748</v>
      </c>
      <c r="J565" s="527">
        <v>19369956</v>
      </c>
      <c r="K565" s="527">
        <v>2130695</v>
      </c>
      <c r="L565" s="336">
        <f t="shared" si="176"/>
        <v>21500651</v>
      </c>
      <c r="M565" s="316">
        <f>H565-I565</f>
        <v>21500652</v>
      </c>
    </row>
    <row r="566" spans="1:13" s="248" customFormat="1" x14ac:dyDescent="0.25">
      <c r="A566" s="264">
        <v>45163</v>
      </c>
      <c r="B566" s="433">
        <v>45161</v>
      </c>
      <c r="C566" s="328" t="s">
        <v>5962</v>
      </c>
      <c r="D566" s="263" t="s">
        <v>376</v>
      </c>
      <c r="E566" s="265" t="s">
        <v>377</v>
      </c>
      <c r="F566" s="262" t="s">
        <v>4316</v>
      </c>
      <c r="G566" s="247" t="s">
        <v>6231</v>
      </c>
      <c r="H566" s="316">
        <v>16464000</v>
      </c>
      <c r="I566" s="317">
        <v>3061525.2</v>
      </c>
      <c r="J566" s="527">
        <v>12074301</v>
      </c>
      <c r="K566" s="527">
        <v>1328173</v>
      </c>
      <c r="L566" s="336">
        <f t="shared" si="176"/>
        <v>13402474</v>
      </c>
      <c r="M566" s="316">
        <f t="shared" si="175"/>
        <v>13402474.800000001</v>
      </c>
    </row>
    <row r="567" spans="1:13" s="248" customFormat="1" x14ac:dyDescent="0.25">
      <c r="A567" s="264">
        <v>45166</v>
      </c>
      <c r="B567" s="433">
        <v>45162</v>
      </c>
      <c r="C567" s="328" t="s">
        <v>6253</v>
      </c>
      <c r="D567" s="263" t="s">
        <v>376</v>
      </c>
      <c r="E567" s="265" t="s">
        <v>377</v>
      </c>
      <c r="F567" s="262" t="s">
        <v>4316</v>
      </c>
      <c r="G567" s="247" t="s">
        <v>6232</v>
      </c>
      <c r="H567" s="316">
        <v>10848000</v>
      </c>
      <c r="I567" s="317">
        <v>1844160</v>
      </c>
      <c r="J567" s="527">
        <v>8111567</v>
      </c>
      <c r="K567" s="527">
        <v>892272</v>
      </c>
      <c r="L567" s="336">
        <f t="shared" si="176"/>
        <v>9003839</v>
      </c>
      <c r="M567" s="316">
        <f>H567-I567</f>
        <v>9003840</v>
      </c>
    </row>
    <row r="568" spans="1:13" s="248" customFormat="1" x14ac:dyDescent="0.25">
      <c r="A568" s="264">
        <v>45166</v>
      </c>
      <c r="B568" s="433">
        <v>45163</v>
      </c>
      <c r="C568" s="328" t="s">
        <v>6254</v>
      </c>
      <c r="D568" s="263" t="s">
        <v>376</v>
      </c>
      <c r="E568" s="265" t="s">
        <v>377</v>
      </c>
      <c r="F568" s="262" t="s">
        <v>4316</v>
      </c>
      <c r="G568" s="247" t="s">
        <v>6233</v>
      </c>
      <c r="H568" s="316">
        <v>29112000</v>
      </c>
      <c r="I568" s="317">
        <v>4949040</v>
      </c>
      <c r="J568" s="527">
        <v>21768432</v>
      </c>
      <c r="K568" s="527">
        <v>2394527</v>
      </c>
      <c r="L568" s="336">
        <f t="shared" si="176"/>
        <v>24162959</v>
      </c>
      <c r="M568" s="316">
        <f>H568-I568</f>
        <v>24162960</v>
      </c>
    </row>
    <row r="569" spans="1:13" s="248" customFormat="1" x14ac:dyDescent="0.25">
      <c r="A569" s="264">
        <v>45166</v>
      </c>
      <c r="B569" s="433">
        <v>45164</v>
      </c>
      <c r="C569" s="328" t="s">
        <v>6014</v>
      </c>
      <c r="D569" s="263" t="s">
        <v>376</v>
      </c>
      <c r="E569" s="265" t="s">
        <v>377</v>
      </c>
      <c r="F569" s="262" t="s">
        <v>4316</v>
      </c>
      <c r="G569" s="247" t="s">
        <v>6234</v>
      </c>
      <c r="H569" s="316">
        <v>9681600</v>
      </c>
      <c r="I569" s="317">
        <v>1645872</v>
      </c>
      <c r="J569" s="527">
        <v>7239394</v>
      </c>
      <c r="K569" s="527">
        <v>796333</v>
      </c>
      <c r="L569" s="336">
        <f t="shared" si="176"/>
        <v>8035727</v>
      </c>
      <c r="M569" s="316">
        <f>H569-I569</f>
        <v>8035728</v>
      </c>
    </row>
    <row r="570" spans="1:13" s="248" customFormat="1" x14ac:dyDescent="0.25">
      <c r="A570" s="264">
        <v>45169</v>
      </c>
      <c r="B570" s="433">
        <v>45166</v>
      </c>
      <c r="C570" s="328" t="s">
        <v>6015</v>
      </c>
      <c r="D570" s="263" t="s">
        <v>376</v>
      </c>
      <c r="E570" s="265" t="s">
        <v>377</v>
      </c>
      <c r="F570" s="262" t="s">
        <v>4316</v>
      </c>
      <c r="G570" s="247" t="s">
        <v>6235</v>
      </c>
      <c r="H570" s="316">
        <v>7805600</v>
      </c>
      <c r="I570" s="317">
        <v>1326952</v>
      </c>
      <c r="J570" s="527">
        <v>5836619</v>
      </c>
      <c r="K570" s="527">
        <v>642028</v>
      </c>
      <c r="L570" s="336">
        <f t="shared" si="176"/>
        <v>6478647</v>
      </c>
      <c r="M570" s="316">
        <f>H570-I570</f>
        <v>6478648</v>
      </c>
    </row>
    <row r="571" spans="1:13" s="248" customFormat="1" ht="16.5" customHeight="1" x14ac:dyDescent="0.25">
      <c r="A571" s="264">
        <v>45169</v>
      </c>
      <c r="B571" s="433">
        <v>45167</v>
      </c>
      <c r="C571" s="328" t="s">
        <v>6016</v>
      </c>
      <c r="D571" s="263" t="s">
        <v>376</v>
      </c>
      <c r="E571" s="265" t="s">
        <v>377</v>
      </c>
      <c r="F571" s="262" t="s">
        <v>4316</v>
      </c>
      <c r="G571" s="247" t="s">
        <v>6236</v>
      </c>
      <c r="H571" s="316">
        <v>42984000</v>
      </c>
      <c r="I571" s="317">
        <v>7307280</v>
      </c>
      <c r="J571" s="527">
        <v>32141189</v>
      </c>
      <c r="K571" s="527">
        <v>3535530</v>
      </c>
      <c r="L571" s="336">
        <f t="shared" si="176"/>
        <v>35676719</v>
      </c>
      <c r="M571" s="316">
        <f>H571-I571</f>
        <v>35676720</v>
      </c>
    </row>
    <row r="572" spans="1:13" s="248" customFormat="1" ht="16.5" customHeight="1" x14ac:dyDescent="0.25">
      <c r="A572" s="264">
        <v>45149</v>
      </c>
      <c r="B572" s="433">
        <v>45148</v>
      </c>
      <c r="C572" s="328" t="s">
        <v>6001</v>
      </c>
      <c r="D572" s="263" t="s">
        <v>5558</v>
      </c>
      <c r="E572" s="265" t="s">
        <v>5559</v>
      </c>
      <c r="F572" s="262" t="s">
        <v>5560</v>
      </c>
      <c r="G572" s="247" t="s">
        <v>6000</v>
      </c>
      <c r="H572" s="316">
        <v>5507595</v>
      </c>
      <c r="I572" s="317">
        <v>0</v>
      </c>
      <c r="J572" s="527">
        <f t="shared" ref="J572" si="177">(H572-I572)/1.11</f>
        <v>4961797.297297297</v>
      </c>
      <c r="K572" s="527">
        <f t="shared" ref="K572" si="178">J572*11%</f>
        <v>545797.70270270272</v>
      </c>
      <c r="L572" s="336">
        <f t="shared" si="174"/>
        <v>5507595</v>
      </c>
      <c r="M572" s="316">
        <f t="shared" si="175"/>
        <v>5507595</v>
      </c>
    </row>
    <row r="573" spans="1:13" ht="18" x14ac:dyDescent="0.25">
      <c r="A573" s="435" t="s">
        <v>38</v>
      </c>
      <c r="B573" s="434"/>
      <c r="C573" s="437"/>
      <c r="D573" s="436"/>
      <c r="E573" s="441"/>
      <c r="F573" s="441"/>
      <c r="G573" s="438"/>
      <c r="H573" s="336">
        <f>SUM(H501:H572)</f>
        <v>1224438727.625</v>
      </c>
      <c r="I573" s="335"/>
      <c r="J573" s="528">
        <f>SUM(J501:J572)</f>
        <v>1003392134.3963964</v>
      </c>
      <c r="K573" s="528">
        <f>SUM(K501:K572)</f>
        <v>110373105.1036036</v>
      </c>
      <c r="L573" s="528">
        <f>SUM(L501:L572)</f>
        <v>1113765239.5</v>
      </c>
      <c r="M573" s="528">
        <f>SUM(M501:M572)</f>
        <v>1108581811.2249999</v>
      </c>
    </row>
    <row r="574" spans="1:13" ht="18" x14ac:dyDescent="0.25">
      <c r="A574" s="432" t="s">
        <v>106</v>
      </c>
      <c r="B574" s="432"/>
      <c r="C574" s="344"/>
      <c r="D574" s="343"/>
      <c r="E574" s="440"/>
      <c r="F574" s="440"/>
      <c r="G574" s="343"/>
      <c r="H574" s="345"/>
      <c r="I574" s="345"/>
      <c r="J574" s="526"/>
      <c r="K574" s="526"/>
      <c r="L574" s="612"/>
      <c r="M574" s="346"/>
    </row>
    <row r="575" spans="1:13" s="248" customFormat="1" x14ac:dyDescent="0.25">
      <c r="A575" s="264">
        <v>45183</v>
      </c>
      <c r="B575" s="433">
        <v>45181</v>
      </c>
      <c r="C575" s="328" t="s">
        <v>6337</v>
      </c>
      <c r="D575" s="263" t="s">
        <v>302</v>
      </c>
      <c r="E575" s="265" t="s">
        <v>370</v>
      </c>
      <c r="F575" s="522" t="s">
        <v>371</v>
      </c>
      <c r="G575" s="247" t="s">
        <v>6336</v>
      </c>
      <c r="H575" s="316">
        <v>4844069.9700000007</v>
      </c>
      <c r="I575" s="317">
        <v>0</v>
      </c>
      <c r="J575" s="527">
        <v>4364027</v>
      </c>
      <c r="K575" s="527">
        <v>480042</v>
      </c>
      <c r="L575" s="336">
        <f>SUM(J575:K575)</f>
        <v>4844069</v>
      </c>
      <c r="M575" s="316">
        <f t="shared" ref="M575:M608" si="179">H575-I575</f>
        <v>4844069.9700000007</v>
      </c>
    </row>
    <row r="576" spans="1:13" s="248" customFormat="1" x14ac:dyDescent="0.25">
      <c r="A576" s="264">
        <v>45178</v>
      </c>
      <c r="B576" s="433">
        <v>45174</v>
      </c>
      <c r="C576" s="328" t="s">
        <v>6340</v>
      </c>
      <c r="D576" s="524" t="s">
        <v>297</v>
      </c>
      <c r="E576" s="523" t="s">
        <v>369</v>
      </c>
      <c r="F576" s="262" t="s">
        <v>395</v>
      </c>
      <c r="G576" s="247" t="s">
        <v>6429</v>
      </c>
      <c r="H576" s="316">
        <v>32339553.25</v>
      </c>
      <c r="I576" s="317">
        <v>135432</v>
      </c>
      <c r="J576" s="527">
        <v>29012721</v>
      </c>
      <c r="K576" s="527">
        <v>3191399</v>
      </c>
      <c r="L576" s="336">
        <f t="shared" ref="L576:L597" si="180">SUM(J576:K576)</f>
        <v>32204120</v>
      </c>
      <c r="M576" s="316">
        <f t="shared" ref="M576:M597" si="181">H576-I576</f>
        <v>32204121.25</v>
      </c>
    </row>
    <row r="577" spans="1:13" s="248" customFormat="1" x14ac:dyDescent="0.25">
      <c r="A577" s="264">
        <v>45178</v>
      </c>
      <c r="B577" s="433">
        <v>45174</v>
      </c>
      <c r="C577" s="328" t="s">
        <v>6341</v>
      </c>
      <c r="D577" s="524" t="s">
        <v>297</v>
      </c>
      <c r="E577" s="523" t="s">
        <v>369</v>
      </c>
      <c r="F577" s="262" t="s">
        <v>395</v>
      </c>
      <c r="G577" s="247" t="s">
        <v>6430</v>
      </c>
      <c r="H577" s="316">
        <v>32415425</v>
      </c>
      <c r="I577" s="317">
        <v>0</v>
      </c>
      <c r="J577" s="527">
        <v>29203085</v>
      </c>
      <c r="K577" s="527">
        <v>3212339</v>
      </c>
      <c r="L577" s="336">
        <f t="shared" si="180"/>
        <v>32415424</v>
      </c>
      <c r="M577" s="316">
        <f t="shared" si="181"/>
        <v>32415425</v>
      </c>
    </row>
    <row r="578" spans="1:13" s="248" customFormat="1" x14ac:dyDescent="0.25">
      <c r="A578" s="264">
        <v>45178</v>
      </c>
      <c r="B578" s="433">
        <v>45174</v>
      </c>
      <c r="C578" s="328" t="s">
        <v>6342</v>
      </c>
      <c r="D578" s="524" t="s">
        <v>297</v>
      </c>
      <c r="E578" s="523" t="s">
        <v>369</v>
      </c>
      <c r="F578" s="262" t="s">
        <v>395</v>
      </c>
      <c r="G578" s="247" t="s">
        <v>6431</v>
      </c>
      <c r="H578" s="316">
        <v>14481705</v>
      </c>
      <c r="I578" s="317">
        <v>0</v>
      </c>
      <c r="J578" s="527">
        <v>13046581</v>
      </c>
      <c r="K578" s="527">
        <v>1435123</v>
      </c>
      <c r="L578" s="336">
        <f t="shared" si="180"/>
        <v>14481704</v>
      </c>
      <c r="M578" s="316">
        <f t="shared" si="181"/>
        <v>14481705</v>
      </c>
    </row>
    <row r="579" spans="1:13" s="248" customFormat="1" x14ac:dyDescent="0.25">
      <c r="A579" s="264">
        <v>45178</v>
      </c>
      <c r="B579" s="433">
        <v>45174</v>
      </c>
      <c r="C579" s="328" t="s">
        <v>6343</v>
      </c>
      <c r="D579" s="524" t="s">
        <v>297</v>
      </c>
      <c r="E579" s="523" t="s">
        <v>369</v>
      </c>
      <c r="F579" s="262" t="s">
        <v>395</v>
      </c>
      <c r="G579" s="247" t="s">
        <v>6432</v>
      </c>
      <c r="H579" s="316">
        <v>4084534.5</v>
      </c>
      <c r="I579" s="317">
        <v>135432</v>
      </c>
      <c r="J579" s="527">
        <v>3557750</v>
      </c>
      <c r="K579" s="527">
        <v>391352</v>
      </c>
      <c r="L579" s="336">
        <f t="shared" si="180"/>
        <v>3949102</v>
      </c>
      <c r="M579" s="316">
        <f t="shared" si="181"/>
        <v>3949102.5</v>
      </c>
    </row>
    <row r="580" spans="1:13" s="248" customFormat="1" x14ac:dyDescent="0.25">
      <c r="A580" s="264">
        <v>45178</v>
      </c>
      <c r="B580" s="433">
        <v>45175</v>
      </c>
      <c r="C580" s="328" t="s">
        <v>6344</v>
      </c>
      <c r="D580" s="524" t="s">
        <v>297</v>
      </c>
      <c r="E580" s="523" t="s">
        <v>369</v>
      </c>
      <c r="F580" s="262" t="s">
        <v>395</v>
      </c>
      <c r="G580" s="247" t="s">
        <v>6433</v>
      </c>
      <c r="H580" s="316">
        <v>10174500</v>
      </c>
      <c r="I580" s="317">
        <v>0</v>
      </c>
      <c r="J580" s="527">
        <v>9166216</v>
      </c>
      <c r="K580" s="527">
        <v>1008283</v>
      </c>
      <c r="L580" s="336">
        <f t="shared" si="180"/>
        <v>10174499</v>
      </c>
      <c r="M580" s="316">
        <f t="shared" si="181"/>
        <v>10174500</v>
      </c>
    </row>
    <row r="581" spans="1:13" s="248" customFormat="1" x14ac:dyDescent="0.25">
      <c r="A581" s="264">
        <v>45178</v>
      </c>
      <c r="B581" s="433">
        <v>45175</v>
      </c>
      <c r="C581" s="328" t="s">
        <v>6345</v>
      </c>
      <c r="D581" s="524" t="s">
        <v>297</v>
      </c>
      <c r="E581" s="523" t="s">
        <v>369</v>
      </c>
      <c r="F581" s="262" t="s">
        <v>395</v>
      </c>
      <c r="G581" s="247" t="s">
        <v>6434</v>
      </c>
      <c r="H581" s="316">
        <v>22976415</v>
      </c>
      <c r="I581" s="317">
        <v>0</v>
      </c>
      <c r="J581" s="527">
        <v>20699472</v>
      </c>
      <c r="K581" s="527">
        <v>2276942</v>
      </c>
      <c r="L581" s="336">
        <f t="shared" si="180"/>
        <v>22976414</v>
      </c>
      <c r="M581" s="316">
        <f t="shared" si="181"/>
        <v>22976415</v>
      </c>
    </row>
    <row r="582" spans="1:13" s="248" customFormat="1" x14ac:dyDescent="0.25">
      <c r="A582" s="264">
        <v>45178</v>
      </c>
      <c r="B582" s="433">
        <v>45175</v>
      </c>
      <c r="C582" s="328" t="s">
        <v>6346</v>
      </c>
      <c r="D582" s="524" t="s">
        <v>297</v>
      </c>
      <c r="E582" s="523" t="s">
        <v>369</v>
      </c>
      <c r="F582" s="262" t="s">
        <v>395</v>
      </c>
      <c r="G582" s="247" t="s">
        <v>6435</v>
      </c>
      <c r="H582" s="316">
        <v>7565040</v>
      </c>
      <c r="I582" s="317">
        <v>0</v>
      </c>
      <c r="J582" s="527">
        <v>6815351</v>
      </c>
      <c r="K582" s="527">
        <v>749688</v>
      </c>
      <c r="L582" s="336">
        <f t="shared" si="180"/>
        <v>7565039</v>
      </c>
      <c r="M582" s="316">
        <f t="shared" si="181"/>
        <v>7565040</v>
      </c>
    </row>
    <row r="583" spans="1:13" s="248" customFormat="1" x14ac:dyDescent="0.25">
      <c r="A583" s="264">
        <v>45185</v>
      </c>
      <c r="B583" s="433">
        <v>45181</v>
      </c>
      <c r="C583" s="328" t="s">
        <v>6347</v>
      </c>
      <c r="D583" s="524" t="s">
        <v>297</v>
      </c>
      <c r="E583" s="523" t="s">
        <v>369</v>
      </c>
      <c r="F583" s="262" t="s">
        <v>395</v>
      </c>
      <c r="G583" s="247" t="s">
        <v>6436</v>
      </c>
      <c r="H583" s="316">
        <v>31316845</v>
      </c>
      <c r="I583" s="317">
        <v>0</v>
      </c>
      <c r="J583" s="527">
        <v>28213373</v>
      </c>
      <c r="K583" s="527">
        <v>3103471</v>
      </c>
      <c r="L583" s="336">
        <f t="shared" si="180"/>
        <v>31316844</v>
      </c>
      <c r="M583" s="316">
        <f t="shared" si="181"/>
        <v>31316845</v>
      </c>
    </row>
    <row r="584" spans="1:13" s="248" customFormat="1" x14ac:dyDescent="0.25">
      <c r="A584" s="264">
        <v>45185</v>
      </c>
      <c r="B584" s="433">
        <v>45181</v>
      </c>
      <c r="C584" s="328" t="s">
        <v>6348</v>
      </c>
      <c r="D584" s="524" t="s">
        <v>297</v>
      </c>
      <c r="E584" s="523" t="s">
        <v>369</v>
      </c>
      <c r="F584" s="262" t="s">
        <v>395</v>
      </c>
      <c r="G584" s="247" t="s">
        <v>6437</v>
      </c>
      <c r="H584" s="316">
        <v>10316145</v>
      </c>
      <c r="I584" s="317">
        <v>0</v>
      </c>
      <c r="J584" s="527">
        <v>9293824</v>
      </c>
      <c r="K584" s="527">
        <v>1022320</v>
      </c>
      <c r="L584" s="336">
        <f t="shared" si="180"/>
        <v>10316144</v>
      </c>
      <c r="M584" s="316">
        <f t="shared" si="181"/>
        <v>10316145</v>
      </c>
    </row>
    <row r="585" spans="1:13" s="248" customFormat="1" x14ac:dyDescent="0.25">
      <c r="A585" s="264">
        <v>45185</v>
      </c>
      <c r="B585" s="433">
        <v>45181</v>
      </c>
      <c r="C585" s="328" t="s">
        <v>6349</v>
      </c>
      <c r="D585" s="524" t="s">
        <v>297</v>
      </c>
      <c r="E585" s="523" t="s">
        <v>369</v>
      </c>
      <c r="F585" s="262" t="s">
        <v>395</v>
      </c>
      <c r="G585" s="247" t="s">
        <v>6438</v>
      </c>
      <c r="H585" s="316">
        <v>26317607.75</v>
      </c>
      <c r="I585" s="317">
        <v>0</v>
      </c>
      <c r="J585" s="527">
        <v>23709556</v>
      </c>
      <c r="K585" s="527">
        <v>2608051</v>
      </c>
      <c r="L585" s="336">
        <f t="shared" si="180"/>
        <v>26317607</v>
      </c>
      <c r="M585" s="316">
        <f t="shared" si="181"/>
        <v>26317607.75</v>
      </c>
    </row>
    <row r="586" spans="1:13" s="248" customFormat="1" x14ac:dyDescent="0.25">
      <c r="A586" s="264">
        <v>45185</v>
      </c>
      <c r="B586" s="433">
        <v>45182</v>
      </c>
      <c r="C586" s="328" t="s">
        <v>6350</v>
      </c>
      <c r="D586" s="524" t="s">
        <v>297</v>
      </c>
      <c r="E586" s="523" t="s">
        <v>369</v>
      </c>
      <c r="F586" s="262" t="s">
        <v>395</v>
      </c>
      <c r="G586" s="247" t="s">
        <v>6439</v>
      </c>
      <c r="H586" s="316">
        <v>6703200</v>
      </c>
      <c r="I586" s="317">
        <v>0</v>
      </c>
      <c r="J586" s="527">
        <v>6038918</v>
      </c>
      <c r="K586" s="527">
        <v>664281</v>
      </c>
      <c r="L586" s="336">
        <f t="shared" si="180"/>
        <v>6703199</v>
      </c>
      <c r="M586" s="316">
        <f t="shared" si="181"/>
        <v>6703200</v>
      </c>
    </row>
    <row r="587" spans="1:13" s="248" customFormat="1" x14ac:dyDescent="0.25">
      <c r="A587" s="264">
        <v>45187</v>
      </c>
      <c r="B587" s="433">
        <v>45183</v>
      </c>
      <c r="C587" s="328" t="s">
        <v>6351</v>
      </c>
      <c r="D587" s="524" t="s">
        <v>297</v>
      </c>
      <c r="E587" s="523" t="s">
        <v>369</v>
      </c>
      <c r="F587" s="262" t="s">
        <v>395</v>
      </c>
      <c r="G587" s="247" t="s">
        <v>6440</v>
      </c>
      <c r="H587" s="316">
        <v>13828779.5</v>
      </c>
      <c r="I587" s="317">
        <v>135432</v>
      </c>
      <c r="J587" s="527">
        <v>12336349</v>
      </c>
      <c r="K587" s="527">
        <v>1356998</v>
      </c>
      <c r="L587" s="336">
        <f t="shared" si="180"/>
        <v>13693347</v>
      </c>
      <c r="M587" s="316">
        <f t="shared" si="181"/>
        <v>13693347.5</v>
      </c>
    </row>
    <row r="588" spans="1:13" s="248" customFormat="1" x14ac:dyDescent="0.25">
      <c r="A588" s="264">
        <v>45187</v>
      </c>
      <c r="B588" s="433">
        <v>45183</v>
      </c>
      <c r="C588" s="328" t="s">
        <v>6352</v>
      </c>
      <c r="D588" s="524" t="s">
        <v>297</v>
      </c>
      <c r="E588" s="523" t="s">
        <v>369</v>
      </c>
      <c r="F588" s="262" t="s">
        <v>395</v>
      </c>
      <c r="G588" s="247" t="s">
        <v>6441</v>
      </c>
      <c r="H588" s="316">
        <v>19375938.75</v>
      </c>
      <c r="I588" s="317">
        <v>0</v>
      </c>
      <c r="J588" s="527">
        <v>17455800</v>
      </c>
      <c r="K588" s="527">
        <v>1920138</v>
      </c>
      <c r="L588" s="336">
        <f t="shared" si="180"/>
        <v>19375938</v>
      </c>
      <c r="M588" s="316">
        <f t="shared" si="181"/>
        <v>19375938.75</v>
      </c>
    </row>
    <row r="589" spans="1:13" s="248" customFormat="1" x14ac:dyDescent="0.25">
      <c r="A589" s="264">
        <v>45187</v>
      </c>
      <c r="B589" s="433">
        <v>45184</v>
      </c>
      <c r="C589" s="328" t="s">
        <v>6353</v>
      </c>
      <c r="D589" s="524" t="s">
        <v>297</v>
      </c>
      <c r="E589" s="523" t="s">
        <v>369</v>
      </c>
      <c r="F589" s="262" t="s">
        <v>395</v>
      </c>
      <c r="G589" s="247" t="s">
        <v>6442</v>
      </c>
      <c r="H589" s="316">
        <v>9349900</v>
      </c>
      <c r="I589" s="317">
        <v>0</v>
      </c>
      <c r="J589" s="527">
        <v>8423333</v>
      </c>
      <c r="K589" s="527">
        <v>926566</v>
      </c>
      <c r="L589" s="336">
        <f t="shared" si="180"/>
        <v>9349899</v>
      </c>
      <c r="M589" s="316">
        <f t="shared" si="181"/>
        <v>9349900</v>
      </c>
    </row>
    <row r="590" spans="1:13" s="248" customFormat="1" x14ac:dyDescent="0.25">
      <c r="A590" s="264">
        <v>45187</v>
      </c>
      <c r="B590" s="433">
        <v>45184</v>
      </c>
      <c r="C590" s="328" t="s">
        <v>6354</v>
      </c>
      <c r="D590" s="524" t="s">
        <v>297</v>
      </c>
      <c r="E590" s="523" t="s">
        <v>369</v>
      </c>
      <c r="F590" s="262" t="s">
        <v>395</v>
      </c>
      <c r="G590" s="247" t="s">
        <v>6443</v>
      </c>
      <c r="H590" s="316">
        <v>34457473.75</v>
      </c>
      <c r="I590" s="317">
        <v>0</v>
      </c>
      <c r="J590" s="527">
        <v>31042769</v>
      </c>
      <c r="K590" s="527">
        <v>3414704</v>
      </c>
      <c r="L590" s="336">
        <f t="shared" si="180"/>
        <v>34457473</v>
      </c>
      <c r="M590" s="316">
        <f t="shared" si="181"/>
        <v>34457473.75</v>
      </c>
    </row>
    <row r="591" spans="1:13" s="248" customFormat="1" x14ac:dyDescent="0.25">
      <c r="A591" s="264">
        <v>45187</v>
      </c>
      <c r="B591" s="433">
        <v>45184</v>
      </c>
      <c r="C591" s="328" t="s">
        <v>6355</v>
      </c>
      <c r="D591" s="524" t="s">
        <v>297</v>
      </c>
      <c r="E591" s="523" t="s">
        <v>369</v>
      </c>
      <c r="F591" s="262" t="s">
        <v>395</v>
      </c>
      <c r="G591" s="247" t="s">
        <v>6444</v>
      </c>
      <c r="H591" s="316">
        <v>40781291.25</v>
      </c>
      <c r="I591" s="317">
        <v>0</v>
      </c>
      <c r="J591" s="527">
        <v>36739902</v>
      </c>
      <c r="K591" s="527">
        <v>4041389</v>
      </c>
      <c r="L591" s="336">
        <f t="shared" si="180"/>
        <v>40781291</v>
      </c>
      <c r="M591" s="316">
        <f t="shared" si="181"/>
        <v>40781291.25</v>
      </c>
    </row>
    <row r="592" spans="1:13" s="248" customFormat="1" x14ac:dyDescent="0.25">
      <c r="A592" s="264">
        <v>45187</v>
      </c>
      <c r="B592" s="433">
        <v>45184</v>
      </c>
      <c r="C592" s="328" t="s">
        <v>6356</v>
      </c>
      <c r="D592" s="524" t="s">
        <v>297</v>
      </c>
      <c r="E592" s="523" t="s">
        <v>369</v>
      </c>
      <c r="F592" s="262" t="s">
        <v>395</v>
      </c>
      <c r="G592" s="247" t="s">
        <v>6445</v>
      </c>
      <c r="H592" s="316">
        <v>11612439</v>
      </c>
      <c r="I592" s="317">
        <v>270864</v>
      </c>
      <c r="J592" s="527">
        <v>10217635</v>
      </c>
      <c r="K592" s="527">
        <v>1123939</v>
      </c>
      <c r="L592" s="336">
        <f t="shared" si="180"/>
        <v>11341574</v>
      </c>
      <c r="M592" s="316">
        <f t="shared" si="181"/>
        <v>11341575</v>
      </c>
    </row>
    <row r="593" spans="1:13" s="248" customFormat="1" x14ac:dyDescent="0.25">
      <c r="A593" s="264">
        <v>45190</v>
      </c>
      <c r="B593" s="433">
        <v>45187</v>
      </c>
      <c r="C593" s="328" t="s">
        <v>6357</v>
      </c>
      <c r="D593" s="524" t="s">
        <v>297</v>
      </c>
      <c r="E593" s="523" t="s">
        <v>369</v>
      </c>
      <c r="F593" s="262" t="s">
        <v>395</v>
      </c>
      <c r="G593" s="247" t="s">
        <v>6639</v>
      </c>
      <c r="H593" s="316">
        <v>9689985.75</v>
      </c>
      <c r="I593" s="317">
        <v>135432</v>
      </c>
      <c r="J593" s="527">
        <v>8607706</v>
      </c>
      <c r="K593" s="527">
        <v>946847</v>
      </c>
      <c r="L593" s="336">
        <f t="shared" si="180"/>
        <v>9554553</v>
      </c>
      <c r="M593" s="316">
        <f t="shared" si="181"/>
        <v>9554553.75</v>
      </c>
    </row>
    <row r="594" spans="1:13" s="248" customFormat="1" x14ac:dyDescent="0.25">
      <c r="A594" s="264">
        <v>45190</v>
      </c>
      <c r="B594" s="433">
        <v>45187</v>
      </c>
      <c r="C594" s="328" t="s">
        <v>6358</v>
      </c>
      <c r="D594" s="524" t="s">
        <v>297</v>
      </c>
      <c r="E594" s="523" t="s">
        <v>369</v>
      </c>
      <c r="F594" s="262" t="s">
        <v>395</v>
      </c>
      <c r="G594" s="247" t="s">
        <v>6640</v>
      </c>
      <c r="H594" s="316">
        <v>6721155</v>
      </c>
      <c r="I594" s="317">
        <v>0</v>
      </c>
      <c r="J594" s="527">
        <v>6055094</v>
      </c>
      <c r="K594" s="527">
        <v>666060</v>
      </c>
      <c r="L594" s="336">
        <f t="shared" si="180"/>
        <v>6721154</v>
      </c>
      <c r="M594" s="316">
        <f t="shared" si="181"/>
        <v>6721155</v>
      </c>
    </row>
    <row r="595" spans="1:13" s="248" customFormat="1" x14ac:dyDescent="0.25">
      <c r="A595" s="264">
        <v>45190</v>
      </c>
      <c r="B595" s="433">
        <v>45188</v>
      </c>
      <c r="C595" s="328" t="s">
        <v>6359</v>
      </c>
      <c r="D595" s="524" t="s">
        <v>297</v>
      </c>
      <c r="E595" s="523" t="s">
        <v>369</v>
      </c>
      <c r="F595" s="262" t="s">
        <v>395</v>
      </c>
      <c r="G595" s="247" t="s">
        <v>6641</v>
      </c>
      <c r="H595" s="316">
        <v>17893155</v>
      </c>
      <c r="I595" s="317">
        <v>0</v>
      </c>
      <c r="J595" s="527">
        <v>16119959</v>
      </c>
      <c r="K595" s="527">
        <v>1773195</v>
      </c>
      <c r="L595" s="336">
        <f t="shared" si="180"/>
        <v>17893154</v>
      </c>
      <c r="M595" s="316">
        <f t="shared" si="181"/>
        <v>17893155</v>
      </c>
    </row>
    <row r="596" spans="1:13" s="248" customFormat="1" x14ac:dyDescent="0.25">
      <c r="A596" s="264">
        <v>45190</v>
      </c>
      <c r="B596" s="433">
        <v>45190</v>
      </c>
      <c r="C596" s="328" t="s">
        <v>6360</v>
      </c>
      <c r="D596" s="524" t="s">
        <v>297</v>
      </c>
      <c r="E596" s="523" t="s">
        <v>369</v>
      </c>
      <c r="F596" s="262" t="s">
        <v>395</v>
      </c>
      <c r="G596" s="247" t="s">
        <v>6642</v>
      </c>
      <c r="H596" s="316">
        <v>3873126.25</v>
      </c>
      <c r="I596" s="317">
        <v>0</v>
      </c>
      <c r="J596" s="527">
        <v>3489302</v>
      </c>
      <c r="K596" s="527">
        <v>383823</v>
      </c>
      <c r="L596" s="336">
        <f t="shared" si="180"/>
        <v>3873125</v>
      </c>
      <c r="M596" s="316">
        <f t="shared" si="181"/>
        <v>3873126.25</v>
      </c>
    </row>
    <row r="597" spans="1:13" s="248" customFormat="1" x14ac:dyDescent="0.25">
      <c r="A597" s="264">
        <v>45190</v>
      </c>
      <c r="B597" s="433">
        <v>45190</v>
      </c>
      <c r="C597" s="328" t="s">
        <v>6361</v>
      </c>
      <c r="D597" s="524" t="s">
        <v>297</v>
      </c>
      <c r="E597" s="523" t="s">
        <v>369</v>
      </c>
      <c r="F597" s="262" t="s">
        <v>395</v>
      </c>
      <c r="G597" s="247" t="s">
        <v>6643</v>
      </c>
      <c r="H597" s="316">
        <v>2138640</v>
      </c>
      <c r="I597" s="317">
        <v>0</v>
      </c>
      <c r="J597" s="527">
        <v>1926702</v>
      </c>
      <c r="K597" s="527">
        <v>211937</v>
      </c>
      <c r="L597" s="336">
        <f t="shared" si="180"/>
        <v>2138639</v>
      </c>
      <c r="M597" s="316">
        <f t="shared" si="181"/>
        <v>2138640</v>
      </c>
    </row>
    <row r="598" spans="1:13" s="248" customFormat="1" x14ac:dyDescent="0.25">
      <c r="A598" s="264">
        <v>45196</v>
      </c>
      <c r="B598" s="433">
        <v>45191</v>
      </c>
      <c r="C598" s="328" t="s">
        <v>6427</v>
      </c>
      <c r="D598" s="524" t="s">
        <v>297</v>
      </c>
      <c r="E598" s="523" t="s">
        <v>369</v>
      </c>
      <c r="F598" s="262" t="s">
        <v>395</v>
      </c>
      <c r="G598" s="247" t="s">
        <v>6644</v>
      </c>
      <c r="H598" s="316">
        <v>5801460</v>
      </c>
      <c r="I598" s="317">
        <v>0</v>
      </c>
      <c r="J598" s="527">
        <v>5226540</v>
      </c>
      <c r="K598" s="527">
        <v>574919</v>
      </c>
      <c r="L598" s="336">
        <f t="shared" ref="L598:L599" si="182">SUM(J598:K598)</f>
        <v>5801459</v>
      </c>
      <c r="M598" s="316">
        <f t="shared" ref="M598:M599" si="183">H598-I598</f>
        <v>5801460</v>
      </c>
    </row>
    <row r="599" spans="1:13" s="248" customFormat="1" x14ac:dyDescent="0.25">
      <c r="A599" s="264">
        <v>45198</v>
      </c>
      <c r="B599" s="433">
        <v>45192</v>
      </c>
      <c r="C599" s="328" t="s">
        <v>6428</v>
      </c>
      <c r="D599" s="524" t="s">
        <v>297</v>
      </c>
      <c r="E599" s="523" t="s">
        <v>369</v>
      </c>
      <c r="F599" s="262" t="s">
        <v>395</v>
      </c>
      <c r="G599" s="247" t="s">
        <v>6645</v>
      </c>
      <c r="H599" s="316">
        <v>15920100</v>
      </c>
      <c r="I599" s="317">
        <v>0</v>
      </c>
      <c r="J599" s="527">
        <v>14342432</v>
      </c>
      <c r="K599" s="527">
        <v>1577667</v>
      </c>
      <c r="L599" s="336">
        <f t="shared" si="182"/>
        <v>15920099</v>
      </c>
      <c r="M599" s="316">
        <f t="shared" si="183"/>
        <v>15920100</v>
      </c>
    </row>
    <row r="600" spans="1:13" s="248" customFormat="1" x14ac:dyDescent="0.25">
      <c r="A600" s="264">
        <v>45201</v>
      </c>
      <c r="B600" s="433">
        <v>45196</v>
      </c>
      <c r="C600" s="328" t="s">
        <v>6647</v>
      </c>
      <c r="D600" s="524" t="s">
        <v>297</v>
      </c>
      <c r="E600" s="523" t="s">
        <v>369</v>
      </c>
      <c r="F600" s="262" t="s">
        <v>395</v>
      </c>
      <c r="G600" s="247" t="s">
        <v>6646</v>
      </c>
      <c r="H600" s="316">
        <v>5745600</v>
      </c>
      <c r="I600" s="317">
        <v>0</v>
      </c>
      <c r="J600" s="527">
        <v>5176216</v>
      </c>
      <c r="K600" s="527">
        <v>569383</v>
      </c>
      <c r="L600" s="336">
        <f t="shared" ref="L600:L601" si="184">SUM(J600:K600)</f>
        <v>5745599</v>
      </c>
      <c r="M600" s="316">
        <f t="shared" ref="M600:M601" si="185">H600-I600</f>
        <v>5745600</v>
      </c>
    </row>
    <row r="601" spans="1:13" s="248" customFormat="1" x14ac:dyDescent="0.25">
      <c r="A601" s="264">
        <v>45201</v>
      </c>
      <c r="B601" s="433">
        <v>45196</v>
      </c>
      <c r="C601" s="328" t="s">
        <v>6448</v>
      </c>
      <c r="D601" s="524" t="s">
        <v>297</v>
      </c>
      <c r="E601" s="523" t="s">
        <v>369</v>
      </c>
      <c r="F601" s="262" t="s">
        <v>395</v>
      </c>
      <c r="G601" s="247" t="s">
        <v>6648</v>
      </c>
      <c r="H601" s="316">
        <v>13926097.5</v>
      </c>
      <c r="I601" s="317">
        <v>0</v>
      </c>
      <c r="J601" s="527">
        <v>12546033</v>
      </c>
      <c r="K601" s="527">
        <v>1380063</v>
      </c>
      <c r="L601" s="336">
        <f t="shared" si="184"/>
        <v>13926096</v>
      </c>
      <c r="M601" s="316">
        <f t="shared" si="185"/>
        <v>13926097.5</v>
      </c>
    </row>
    <row r="602" spans="1:13" s="248" customFormat="1" x14ac:dyDescent="0.25">
      <c r="A602" s="264">
        <v>45203</v>
      </c>
      <c r="B602" s="433">
        <v>45198</v>
      </c>
      <c r="C602" s="328" t="s">
        <v>6459</v>
      </c>
      <c r="D602" s="524" t="s">
        <v>297</v>
      </c>
      <c r="E602" s="523" t="s">
        <v>369</v>
      </c>
      <c r="F602" s="262" t="s">
        <v>395</v>
      </c>
      <c r="G602" s="247" t="s">
        <v>6649</v>
      </c>
      <c r="H602" s="316">
        <v>9388470</v>
      </c>
      <c r="I602" s="317">
        <v>0</v>
      </c>
      <c r="J602" s="527">
        <v>8458081</v>
      </c>
      <c r="K602" s="527">
        <v>930388</v>
      </c>
      <c r="L602" s="336">
        <f t="shared" ref="L602" si="186">SUM(J602:K602)</f>
        <v>9388469</v>
      </c>
      <c r="M602" s="316">
        <f t="shared" ref="M602" si="187">H602-I602</f>
        <v>9388470</v>
      </c>
    </row>
    <row r="603" spans="1:13" s="248" customFormat="1" x14ac:dyDescent="0.25">
      <c r="A603" s="264">
        <v>45190</v>
      </c>
      <c r="B603" s="433">
        <v>45189</v>
      </c>
      <c r="C603" s="328" t="s">
        <v>6385</v>
      </c>
      <c r="D603" s="263" t="s">
        <v>299</v>
      </c>
      <c r="E603" s="265" t="s">
        <v>372</v>
      </c>
      <c r="F603" s="262" t="s">
        <v>6274</v>
      </c>
      <c r="G603" s="247" t="s">
        <v>6638</v>
      </c>
      <c r="H603" s="316">
        <v>33698875</v>
      </c>
      <c r="I603" s="317">
        <v>529595</v>
      </c>
      <c r="J603" s="527">
        <v>29882234</v>
      </c>
      <c r="K603" s="527">
        <v>3287045</v>
      </c>
      <c r="L603" s="336">
        <f t="shared" ref="L603" si="188">SUM(J603:K603)</f>
        <v>33169279</v>
      </c>
      <c r="M603" s="316">
        <f t="shared" ref="M603" si="189">H603-I603</f>
        <v>33169280</v>
      </c>
    </row>
    <row r="604" spans="1:13" s="248" customFormat="1" x14ac:dyDescent="0.25">
      <c r="A604" s="264">
        <v>45187</v>
      </c>
      <c r="B604" s="433">
        <v>45185</v>
      </c>
      <c r="C604" s="328" t="s">
        <v>6380</v>
      </c>
      <c r="D604" s="263" t="s">
        <v>378</v>
      </c>
      <c r="E604" s="265" t="s">
        <v>379</v>
      </c>
      <c r="F604" s="262" t="s">
        <v>380</v>
      </c>
      <c r="G604" s="247" t="s">
        <v>6567</v>
      </c>
      <c r="H604" s="316">
        <v>50962000</v>
      </c>
      <c r="I604" s="317">
        <v>3567340.0000000005</v>
      </c>
      <c r="J604" s="527">
        <v>42697892</v>
      </c>
      <c r="K604" s="527">
        <v>4696768</v>
      </c>
      <c r="L604" s="336">
        <f t="shared" ref="L604:L605" si="190">SUM(J604:K604)</f>
        <v>47394660</v>
      </c>
      <c r="M604" s="316">
        <f t="shared" ref="M604:M605" si="191">H604-I604</f>
        <v>47394660</v>
      </c>
    </row>
    <row r="605" spans="1:13" s="248" customFormat="1" x14ac:dyDescent="0.25">
      <c r="A605" s="264">
        <v>45189</v>
      </c>
      <c r="B605" s="433">
        <v>45185</v>
      </c>
      <c r="C605" s="328" t="s">
        <v>6381</v>
      </c>
      <c r="D605" s="263" t="s">
        <v>378</v>
      </c>
      <c r="E605" s="265" t="s">
        <v>379</v>
      </c>
      <c r="F605" s="262" t="s">
        <v>380</v>
      </c>
      <c r="G605" s="247" t="s">
        <v>6568</v>
      </c>
      <c r="H605" s="316">
        <v>48856000</v>
      </c>
      <c r="I605" s="317">
        <v>3419920</v>
      </c>
      <c r="J605" s="527">
        <v>40933405</v>
      </c>
      <c r="K605" s="527">
        <v>4502675</v>
      </c>
      <c r="L605" s="336">
        <f t="shared" si="190"/>
        <v>45436080</v>
      </c>
      <c r="M605" s="316">
        <f t="shared" si="191"/>
        <v>45436080</v>
      </c>
    </row>
    <row r="606" spans="1:13" s="248" customFormat="1" x14ac:dyDescent="0.25">
      <c r="A606" s="264">
        <v>45178</v>
      </c>
      <c r="B606" s="433">
        <v>45176</v>
      </c>
      <c r="C606" s="328" t="s">
        <v>6382</v>
      </c>
      <c r="D606" s="263" t="s">
        <v>303</v>
      </c>
      <c r="E606" s="265" t="s">
        <v>373</v>
      </c>
      <c r="F606" s="262" t="s">
        <v>4317</v>
      </c>
      <c r="G606" s="247" t="s">
        <v>6332</v>
      </c>
      <c r="H606" s="316">
        <v>28000000</v>
      </c>
      <c r="I606" s="317">
        <v>2800000</v>
      </c>
      <c r="J606" s="527">
        <v>22702720</v>
      </c>
      <c r="K606" s="527">
        <v>2497299</v>
      </c>
      <c r="L606" s="336">
        <f t="shared" ref="L606:L608" si="192">SUM(J606:K606)</f>
        <v>25200019</v>
      </c>
      <c r="M606" s="316">
        <f t="shared" si="179"/>
        <v>25200000</v>
      </c>
    </row>
    <row r="607" spans="1:13" s="248" customFormat="1" x14ac:dyDescent="0.25">
      <c r="A607" s="264">
        <v>45180</v>
      </c>
      <c r="B607" s="433">
        <v>45176</v>
      </c>
      <c r="C607" s="328" t="s">
        <v>6383</v>
      </c>
      <c r="D607" s="263" t="s">
        <v>6389</v>
      </c>
      <c r="E607" s="265" t="s">
        <v>6384</v>
      </c>
      <c r="F607" s="262" t="s">
        <v>6390</v>
      </c>
      <c r="G607" s="247" t="s">
        <v>6388</v>
      </c>
      <c r="H607" s="316">
        <v>3240010</v>
      </c>
      <c r="I607" s="317">
        <v>0</v>
      </c>
      <c r="J607" s="527">
        <v>2918928</v>
      </c>
      <c r="K607" s="527">
        <v>321082</v>
      </c>
      <c r="L607" s="336">
        <f t="shared" ref="L607" si="193">SUM(J607:K607)</f>
        <v>3240010</v>
      </c>
      <c r="M607" s="316">
        <f t="shared" si="179"/>
        <v>3240010</v>
      </c>
    </row>
    <row r="608" spans="1:13" s="248" customFormat="1" x14ac:dyDescent="0.25">
      <c r="A608" s="264">
        <v>45169</v>
      </c>
      <c r="B608" s="433">
        <v>45170</v>
      </c>
      <c r="C608" s="328" t="s">
        <v>6362</v>
      </c>
      <c r="D608" s="263" t="s">
        <v>376</v>
      </c>
      <c r="E608" s="265" t="s">
        <v>377</v>
      </c>
      <c r="F608" s="262" t="s">
        <v>4316</v>
      </c>
      <c r="G608" s="247" t="s">
        <v>6315</v>
      </c>
      <c r="H608" s="316">
        <v>14352000</v>
      </c>
      <c r="I608" s="317">
        <v>2439840</v>
      </c>
      <c r="J608" s="527">
        <v>10731675</v>
      </c>
      <c r="K608" s="527">
        <v>1180484</v>
      </c>
      <c r="L608" s="336">
        <f t="shared" si="192"/>
        <v>11912159</v>
      </c>
      <c r="M608" s="316">
        <f t="shared" si="179"/>
        <v>11912160</v>
      </c>
    </row>
    <row r="609" spans="1:13" s="248" customFormat="1" x14ac:dyDescent="0.25">
      <c r="A609" s="264">
        <v>45171</v>
      </c>
      <c r="B609" s="433">
        <v>45170</v>
      </c>
      <c r="C609" s="328" t="s">
        <v>6363</v>
      </c>
      <c r="D609" s="263" t="s">
        <v>376</v>
      </c>
      <c r="E609" s="265" t="s">
        <v>377</v>
      </c>
      <c r="F609" s="262" t="s">
        <v>4316</v>
      </c>
      <c r="G609" s="247" t="s">
        <v>6316</v>
      </c>
      <c r="H609" s="316">
        <v>25488000</v>
      </c>
      <c r="I609" s="317">
        <v>4332960</v>
      </c>
      <c r="J609" s="527">
        <v>19058594</v>
      </c>
      <c r="K609" s="527">
        <v>2096445</v>
      </c>
      <c r="L609" s="336">
        <f t="shared" ref="L609:L613" si="194">SUM(J609:K609)</f>
        <v>21155039</v>
      </c>
      <c r="M609" s="316">
        <f t="shared" ref="M609:M613" si="195">H609-I609</f>
        <v>21155040</v>
      </c>
    </row>
    <row r="610" spans="1:13" s="248" customFormat="1" x14ac:dyDescent="0.25">
      <c r="A610" s="264">
        <v>45171</v>
      </c>
      <c r="B610" s="433">
        <v>45170</v>
      </c>
      <c r="C610" s="328" t="s">
        <v>6364</v>
      </c>
      <c r="D610" s="263" t="s">
        <v>376</v>
      </c>
      <c r="E610" s="265" t="s">
        <v>377</v>
      </c>
      <c r="F610" s="262" t="s">
        <v>4316</v>
      </c>
      <c r="G610" s="247" t="s">
        <v>6317</v>
      </c>
      <c r="H610" s="316">
        <v>17313600</v>
      </c>
      <c r="I610" s="317">
        <v>2943312</v>
      </c>
      <c r="J610" s="527">
        <v>12946205</v>
      </c>
      <c r="K610" s="527">
        <v>1424082</v>
      </c>
      <c r="L610" s="336">
        <f t="shared" si="194"/>
        <v>14370287</v>
      </c>
      <c r="M610" s="316">
        <f t="shared" si="195"/>
        <v>14370288</v>
      </c>
    </row>
    <row r="611" spans="1:13" s="248" customFormat="1" x14ac:dyDescent="0.25">
      <c r="A611" s="264">
        <v>45174</v>
      </c>
      <c r="B611" s="433">
        <v>45173</v>
      </c>
      <c r="C611" s="328" t="s">
        <v>6365</v>
      </c>
      <c r="D611" s="263" t="s">
        <v>376</v>
      </c>
      <c r="E611" s="265" t="s">
        <v>377</v>
      </c>
      <c r="F611" s="262" t="s">
        <v>4316</v>
      </c>
      <c r="G611" s="247" t="s">
        <v>6318</v>
      </c>
      <c r="H611" s="316">
        <v>22416000</v>
      </c>
      <c r="I611" s="317">
        <v>3810720</v>
      </c>
      <c r="J611" s="527">
        <v>16761513</v>
      </c>
      <c r="K611" s="527">
        <v>1843766</v>
      </c>
      <c r="L611" s="336">
        <f t="shared" si="194"/>
        <v>18605279</v>
      </c>
      <c r="M611" s="316">
        <f t="shared" si="195"/>
        <v>18605280</v>
      </c>
    </row>
    <row r="612" spans="1:13" s="248" customFormat="1" x14ac:dyDescent="0.25">
      <c r="A612" s="264">
        <v>45178</v>
      </c>
      <c r="B612" s="433">
        <v>45175</v>
      </c>
      <c r="C612" s="328" t="s">
        <v>6366</v>
      </c>
      <c r="D612" s="263" t="s">
        <v>376</v>
      </c>
      <c r="E612" s="265" t="s">
        <v>377</v>
      </c>
      <c r="F612" s="262" t="s">
        <v>4316</v>
      </c>
      <c r="G612" s="247" t="s">
        <v>6319</v>
      </c>
      <c r="H612" s="316">
        <v>51392400</v>
      </c>
      <c r="I612" s="317">
        <v>8736708</v>
      </c>
      <c r="J612" s="527">
        <v>38428551</v>
      </c>
      <c r="K612" s="527">
        <v>4227140</v>
      </c>
      <c r="L612" s="336">
        <f t="shared" si="194"/>
        <v>42655691</v>
      </c>
      <c r="M612" s="316">
        <f t="shared" si="195"/>
        <v>42655692</v>
      </c>
    </row>
    <row r="613" spans="1:13" s="248" customFormat="1" x14ac:dyDescent="0.25">
      <c r="A613" s="264">
        <v>45178</v>
      </c>
      <c r="B613" s="433">
        <v>45175</v>
      </c>
      <c r="C613" s="328" t="s">
        <v>6367</v>
      </c>
      <c r="D613" s="263" t="s">
        <v>376</v>
      </c>
      <c r="E613" s="265" t="s">
        <v>377</v>
      </c>
      <c r="F613" s="262" t="s">
        <v>4316</v>
      </c>
      <c r="G613" s="247" t="s">
        <v>6320</v>
      </c>
      <c r="H613" s="316">
        <v>50478600</v>
      </c>
      <c r="I613" s="317">
        <v>10436312.4</v>
      </c>
      <c r="J613" s="527">
        <v>36074132</v>
      </c>
      <c r="K613" s="527">
        <v>3968154</v>
      </c>
      <c r="L613" s="336">
        <f t="shared" si="194"/>
        <v>40042286</v>
      </c>
      <c r="M613" s="316">
        <f t="shared" si="195"/>
        <v>40042287.600000001</v>
      </c>
    </row>
    <row r="614" spans="1:13" s="248" customFormat="1" x14ac:dyDescent="0.25">
      <c r="A614" s="264">
        <v>45178</v>
      </c>
      <c r="B614" s="433">
        <v>45176</v>
      </c>
      <c r="C614" s="328" t="s">
        <v>6368</v>
      </c>
      <c r="D614" s="263" t="s">
        <v>376</v>
      </c>
      <c r="E614" s="265" t="s">
        <v>377</v>
      </c>
      <c r="F614" s="262" t="s">
        <v>4316</v>
      </c>
      <c r="G614" s="247" t="s">
        <v>6321</v>
      </c>
      <c r="H614" s="316">
        <v>33652800</v>
      </c>
      <c r="I614" s="317">
        <v>5720976</v>
      </c>
      <c r="J614" s="527">
        <v>25163805</v>
      </c>
      <c r="K614" s="527">
        <v>2768018</v>
      </c>
      <c r="L614" s="336">
        <f t="shared" ref="L614:L619" si="196">SUM(J614:K614)</f>
        <v>27931823</v>
      </c>
      <c r="M614" s="316">
        <f t="shared" ref="M614:M619" si="197">H614-I614</f>
        <v>27931824</v>
      </c>
    </row>
    <row r="615" spans="1:13" s="248" customFormat="1" x14ac:dyDescent="0.25">
      <c r="A615" s="264">
        <v>45180</v>
      </c>
      <c r="B615" s="433">
        <v>45177</v>
      </c>
      <c r="C615" s="328" t="s">
        <v>6369</v>
      </c>
      <c r="D615" s="263" t="s">
        <v>376</v>
      </c>
      <c r="E615" s="265" t="s">
        <v>377</v>
      </c>
      <c r="F615" s="262" t="s">
        <v>4316</v>
      </c>
      <c r="G615" s="247" t="s">
        <v>6322</v>
      </c>
      <c r="H615" s="316">
        <v>69846600</v>
      </c>
      <c r="I615" s="317">
        <v>12250410</v>
      </c>
      <c r="J615" s="527">
        <v>51888459</v>
      </c>
      <c r="K615" s="527">
        <v>5707730</v>
      </c>
      <c r="L615" s="336">
        <f t="shared" si="196"/>
        <v>57596189</v>
      </c>
      <c r="M615" s="316">
        <f t="shared" si="197"/>
        <v>57596190</v>
      </c>
    </row>
    <row r="616" spans="1:13" s="248" customFormat="1" x14ac:dyDescent="0.25">
      <c r="A616" s="264">
        <v>45180</v>
      </c>
      <c r="B616" s="433">
        <v>45177</v>
      </c>
      <c r="C616" s="328" t="s">
        <v>6370</v>
      </c>
      <c r="D616" s="263" t="s">
        <v>376</v>
      </c>
      <c r="E616" s="265" t="s">
        <v>377</v>
      </c>
      <c r="F616" s="262" t="s">
        <v>4316</v>
      </c>
      <c r="G616" s="247" t="s">
        <v>6323</v>
      </c>
      <c r="H616" s="316">
        <v>5750000</v>
      </c>
      <c r="I616" s="317">
        <v>977500.00000000012</v>
      </c>
      <c r="J616" s="527">
        <v>4299549</v>
      </c>
      <c r="K616" s="527">
        <v>472950</v>
      </c>
      <c r="L616" s="336">
        <f t="shared" si="196"/>
        <v>4772499</v>
      </c>
      <c r="M616" s="316">
        <f t="shared" si="197"/>
        <v>4772500</v>
      </c>
    </row>
    <row r="617" spans="1:13" s="248" customFormat="1" x14ac:dyDescent="0.25">
      <c r="A617" s="264">
        <v>45181</v>
      </c>
      <c r="B617" s="433">
        <v>45178</v>
      </c>
      <c r="C617" s="328" t="s">
        <v>6379</v>
      </c>
      <c r="D617" s="263" t="s">
        <v>376</v>
      </c>
      <c r="E617" s="265" t="s">
        <v>377</v>
      </c>
      <c r="F617" s="262" t="s">
        <v>4316</v>
      </c>
      <c r="G617" s="247" t="s">
        <v>6408</v>
      </c>
      <c r="H617" s="316">
        <v>43171200</v>
      </c>
      <c r="I617" s="317">
        <v>7339104</v>
      </c>
      <c r="J617" s="527">
        <v>32281167</v>
      </c>
      <c r="K617" s="527">
        <v>3550928</v>
      </c>
      <c r="L617" s="336">
        <f t="shared" si="196"/>
        <v>35832095</v>
      </c>
      <c r="M617" s="316">
        <f t="shared" si="197"/>
        <v>35832096</v>
      </c>
    </row>
    <row r="618" spans="1:13" s="248" customFormat="1" x14ac:dyDescent="0.25">
      <c r="A618" s="264">
        <v>45181</v>
      </c>
      <c r="B618" s="433">
        <v>45180</v>
      </c>
      <c r="C618" s="328" t="s">
        <v>6371</v>
      </c>
      <c r="D618" s="263" t="s">
        <v>376</v>
      </c>
      <c r="E618" s="265" t="s">
        <v>377</v>
      </c>
      <c r="F618" s="262" t="s">
        <v>4316</v>
      </c>
      <c r="G618" s="247" t="s">
        <v>6324</v>
      </c>
      <c r="H618" s="316">
        <v>48660000</v>
      </c>
      <c r="I618" s="317">
        <v>8272200</v>
      </c>
      <c r="J618" s="527">
        <v>36385405</v>
      </c>
      <c r="K618" s="527">
        <v>4002394</v>
      </c>
      <c r="L618" s="336">
        <f t="shared" si="196"/>
        <v>40387799</v>
      </c>
      <c r="M618" s="316">
        <f t="shared" si="197"/>
        <v>40387800</v>
      </c>
    </row>
    <row r="619" spans="1:13" s="248" customFormat="1" x14ac:dyDescent="0.25">
      <c r="A619" s="264">
        <v>45181</v>
      </c>
      <c r="B619" s="433">
        <v>45180</v>
      </c>
      <c r="C619" s="328" t="s">
        <v>6372</v>
      </c>
      <c r="D619" s="263" t="s">
        <v>376</v>
      </c>
      <c r="E619" s="265" t="s">
        <v>377</v>
      </c>
      <c r="F619" s="262" t="s">
        <v>4316</v>
      </c>
      <c r="G619" s="247" t="s">
        <v>6325</v>
      </c>
      <c r="H619" s="316">
        <v>13008000</v>
      </c>
      <c r="I619" s="317">
        <v>2211360</v>
      </c>
      <c r="J619" s="527">
        <v>9726702</v>
      </c>
      <c r="K619" s="527">
        <v>1069937</v>
      </c>
      <c r="L619" s="336">
        <f t="shared" si="196"/>
        <v>10796639</v>
      </c>
      <c r="M619" s="316">
        <f t="shared" si="197"/>
        <v>10796640</v>
      </c>
    </row>
    <row r="620" spans="1:13" s="248" customFormat="1" x14ac:dyDescent="0.25">
      <c r="A620" s="264">
        <v>45183</v>
      </c>
      <c r="B620" s="433">
        <v>45181</v>
      </c>
      <c r="C620" s="328" t="s">
        <v>6373</v>
      </c>
      <c r="D620" s="263" t="s">
        <v>376</v>
      </c>
      <c r="E620" s="265" t="s">
        <v>377</v>
      </c>
      <c r="F620" s="262" t="s">
        <v>4316</v>
      </c>
      <c r="G620" s="247" t="s">
        <v>6326</v>
      </c>
      <c r="H620" s="316">
        <v>15011600</v>
      </c>
      <c r="I620" s="317">
        <v>2551972.0000000005</v>
      </c>
      <c r="J620" s="527">
        <v>11224890</v>
      </c>
      <c r="K620" s="527">
        <v>1234737</v>
      </c>
      <c r="L620" s="336">
        <f t="shared" ref="L620:L627" si="198">SUM(J620:K620)</f>
        <v>12459627</v>
      </c>
      <c r="M620" s="316">
        <f t="shared" ref="M620:M632" si="199">H620-I620</f>
        <v>12459628</v>
      </c>
    </row>
    <row r="621" spans="1:13" s="248" customFormat="1" x14ac:dyDescent="0.25">
      <c r="A621" s="264">
        <v>45183</v>
      </c>
      <c r="B621" s="433">
        <v>45181</v>
      </c>
      <c r="C621" s="328" t="s">
        <v>6374</v>
      </c>
      <c r="D621" s="263" t="s">
        <v>376</v>
      </c>
      <c r="E621" s="265" t="s">
        <v>377</v>
      </c>
      <c r="F621" s="262" t="s">
        <v>4316</v>
      </c>
      <c r="G621" s="247" t="s">
        <v>6327</v>
      </c>
      <c r="H621" s="316">
        <v>26663600</v>
      </c>
      <c r="I621" s="317">
        <v>4532812</v>
      </c>
      <c r="J621" s="527">
        <v>19937646</v>
      </c>
      <c r="K621" s="527">
        <v>2193141</v>
      </c>
      <c r="L621" s="336">
        <f t="shared" si="198"/>
        <v>22130787</v>
      </c>
      <c r="M621" s="316">
        <f t="shared" si="199"/>
        <v>22130788</v>
      </c>
    </row>
    <row r="622" spans="1:13" s="248" customFormat="1" x14ac:dyDescent="0.25">
      <c r="A622" s="264">
        <v>45183</v>
      </c>
      <c r="B622" s="433">
        <v>45182</v>
      </c>
      <c r="C622" s="328" t="s">
        <v>6375</v>
      </c>
      <c r="D622" s="263" t="s">
        <v>376</v>
      </c>
      <c r="E622" s="265" t="s">
        <v>377</v>
      </c>
      <c r="F622" s="262" t="s">
        <v>4316</v>
      </c>
      <c r="G622" s="247" t="s">
        <v>6328</v>
      </c>
      <c r="H622" s="316">
        <v>12462400</v>
      </c>
      <c r="I622" s="317">
        <v>2118608</v>
      </c>
      <c r="J622" s="527">
        <v>9318731</v>
      </c>
      <c r="K622" s="527">
        <v>1025060</v>
      </c>
      <c r="L622" s="336">
        <f t="shared" ref="L622:L623" si="200">SUM(J622:K622)</f>
        <v>10343791</v>
      </c>
      <c r="M622" s="316">
        <f t="shared" ref="M622:M623" si="201">H622-I622</f>
        <v>10343792</v>
      </c>
    </row>
    <row r="623" spans="1:13" s="248" customFormat="1" x14ac:dyDescent="0.25">
      <c r="A623" s="264">
        <v>45185</v>
      </c>
      <c r="B623" s="433">
        <v>45184</v>
      </c>
      <c r="C623" s="328" t="s">
        <v>6376</v>
      </c>
      <c r="D623" s="263" t="s">
        <v>376</v>
      </c>
      <c r="E623" s="265" t="s">
        <v>377</v>
      </c>
      <c r="F623" s="262" t="s">
        <v>4316</v>
      </c>
      <c r="G623" s="247" t="s">
        <v>6329</v>
      </c>
      <c r="H623" s="316">
        <v>8982400</v>
      </c>
      <c r="I623" s="317">
        <v>1527008</v>
      </c>
      <c r="J623" s="527">
        <v>6716569</v>
      </c>
      <c r="K623" s="527">
        <v>738822</v>
      </c>
      <c r="L623" s="336">
        <f t="shared" si="200"/>
        <v>7455391</v>
      </c>
      <c r="M623" s="316">
        <f t="shared" si="201"/>
        <v>7455392</v>
      </c>
    </row>
    <row r="624" spans="1:13" s="248" customFormat="1" x14ac:dyDescent="0.25">
      <c r="A624" s="264">
        <v>45187</v>
      </c>
      <c r="B624" s="433">
        <v>45185</v>
      </c>
      <c r="C624" s="328" t="s">
        <v>6377</v>
      </c>
      <c r="D624" s="263" t="s">
        <v>376</v>
      </c>
      <c r="E624" s="265" t="s">
        <v>377</v>
      </c>
      <c r="F624" s="262" t="s">
        <v>4316</v>
      </c>
      <c r="G624" s="247" t="s">
        <v>6330</v>
      </c>
      <c r="H624" s="316">
        <v>20883000</v>
      </c>
      <c r="I624" s="317">
        <v>3550110</v>
      </c>
      <c r="J624" s="527">
        <v>15615216</v>
      </c>
      <c r="K624" s="527">
        <v>1717673</v>
      </c>
      <c r="L624" s="336">
        <f t="shared" si="198"/>
        <v>17332889</v>
      </c>
      <c r="M624" s="316">
        <f t="shared" si="199"/>
        <v>17332890</v>
      </c>
    </row>
    <row r="625" spans="1:13" s="248" customFormat="1" x14ac:dyDescent="0.25">
      <c r="A625" s="264">
        <v>45190</v>
      </c>
      <c r="B625" s="433">
        <v>45187</v>
      </c>
      <c r="C625" s="328" t="s">
        <v>6378</v>
      </c>
      <c r="D625" s="263" t="s">
        <v>376</v>
      </c>
      <c r="E625" s="265" t="s">
        <v>377</v>
      </c>
      <c r="F625" s="262" t="s">
        <v>4316</v>
      </c>
      <c r="G625" s="247" t="s">
        <v>6331</v>
      </c>
      <c r="H625" s="316">
        <v>12301200</v>
      </c>
      <c r="I625" s="317">
        <v>2091204.0000000002</v>
      </c>
      <c r="J625" s="527">
        <v>9198194</v>
      </c>
      <c r="K625" s="527">
        <v>1011801</v>
      </c>
      <c r="L625" s="336">
        <f t="shared" si="198"/>
        <v>10209995</v>
      </c>
      <c r="M625" s="316">
        <f t="shared" si="199"/>
        <v>10209996</v>
      </c>
    </row>
    <row r="626" spans="1:13" s="248" customFormat="1" x14ac:dyDescent="0.25">
      <c r="A626" s="264">
        <v>45190</v>
      </c>
      <c r="B626" s="433">
        <v>45189</v>
      </c>
      <c r="C626" s="328" t="s">
        <v>6338</v>
      </c>
      <c r="D626" s="263" t="s">
        <v>376</v>
      </c>
      <c r="E626" s="265" t="s">
        <v>377</v>
      </c>
      <c r="F626" s="262" t="s">
        <v>4316</v>
      </c>
      <c r="G626" s="247" t="s">
        <v>6400</v>
      </c>
      <c r="H626" s="316">
        <v>7411200</v>
      </c>
      <c r="I626" s="317">
        <v>1259904</v>
      </c>
      <c r="J626" s="527">
        <v>5541708</v>
      </c>
      <c r="K626" s="527">
        <v>609587</v>
      </c>
      <c r="L626" s="336">
        <f t="shared" si="198"/>
        <v>6151295</v>
      </c>
      <c r="M626" s="316">
        <f t="shared" si="199"/>
        <v>6151296</v>
      </c>
    </row>
    <row r="627" spans="1:13" s="248" customFormat="1" x14ac:dyDescent="0.25">
      <c r="A627" s="264">
        <v>45190</v>
      </c>
      <c r="B627" s="433">
        <v>45190</v>
      </c>
      <c r="C627" s="328" t="s">
        <v>6339</v>
      </c>
      <c r="D627" s="263" t="s">
        <v>376</v>
      </c>
      <c r="E627" s="265" t="s">
        <v>377</v>
      </c>
      <c r="F627" s="262" t="s">
        <v>4316</v>
      </c>
      <c r="G627" s="247" t="s">
        <v>6401</v>
      </c>
      <c r="H627" s="316">
        <v>15415200</v>
      </c>
      <c r="I627" s="317">
        <v>2620584</v>
      </c>
      <c r="J627" s="527">
        <v>11526681</v>
      </c>
      <c r="K627" s="527">
        <v>1267934</v>
      </c>
      <c r="L627" s="336">
        <f t="shared" si="198"/>
        <v>12794615</v>
      </c>
      <c r="M627" s="316">
        <f t="shared" si="199"/>
        <v>12794616</v>
      </c>
    </row>
    <row r="628" spans="1:13" s="248" customFormat="1" x14ac:dyDescent="0.25">
      <c r="A628" s="264">
        <v>45196</v>
      </c>
      <c r="B628" s="433">
        <v>45191</v>
      </c>
      <c r="C628" s="328" t="s">
        <v>6423</v>
      </c>
      <c r="D628" s="263" t="s">
        <v>376</v>
      </c>
      <c r="E628" s="265" t="s">
        <v>377</v>
      </c>
      <c r="F628" s="262" t="s">
        <v>4316</v>
      </c>
      <c r="G628" s="247" t="s">
        <v>6402</v>
      </c>
      <c r="H628" s="316">
        <v>11404800</v>
      </c>
      <c r="I628" s="317">
        <v>1938816.0000000002</v>
      </c>
      <c r="J628" s="527">
        <v>11656789</v>
      </c>
      <c r="K628" s="527">
        <v>1282246</v>
      </c>
      <c r="L628" s="336">
        <f t="shared" ref="L628:L632" si="202">SUM(J628:K628)</f>
        <v>12939035</v>
      </c>
      <c r="M628" s="316">
        <f t="shared" si="199"/>
        <v>9465984</v>
      </c>
    </row>
    <row r="629" spans="1:13" s="248" customFormat="1" x14ac:dyDescent="0.25">
      <c r="A629" s="264">
        <v>45196</v>
      </c>
      <c r="B629" s="433">
        <v>45191</v>
      </c>
      <c r="C629" s="328" t="s">
        <v>6424</v>
      </c>
      <c r="D629" s="263" t="s">
        <v>376</v>
      </c>
      <c r="E629" s="265" t="s">
        <v>377</v>
      </c>
      <c r="F629" s="262" t="s">
        <v>4316</v>
      </c>
      <c r="G629" s="247" t="s">
        <v>6403</v>
      </c>
      <c r="H629" s="316">
        <v>15589200</v>
      </c>
      <c r="I629" s="317">
        <v>2650164</v>
      </c>
      <c r="J629" s="527">
        <v>8527913</v>
      </c>
      <c r="K629" s="527">
        <v>938070</v>
      </c>
      <c r="L629" s="336">
        <f t="shared" si="202"/>
        <v>9465983</v>
      </c>
      <c r="M629" s="316">
        <f t="shared" si="199"/>
        <v>12939036</v>
      </c>
    </row>
    <row r="630" spans="1:13" s="248" customFormat="1" x14ac:dyDescent="0.25">
      <c r="A630" s="264">
        <v>45196</v>
      </c>
      <c r="B630" s="433">
        <v>45192</v>
      </c>
      <c r="C630" s="328" t="s">
        <v>6425</v>
      </c>
      <c r="D630" s="263" t="s">
        <v>376</v>
      </c>
      <c r="E630" s="265" t="s">
        <v>377</v>
      </c>
      <c r="F630" s="262" t="s">
        <v>4316</v>
      </c>
      <c r="G630" s="247" t="s">
        <v>6404</v>
      </c>
      <c r="H630" s="316">
        <v>31312800</v>
      </c>
      <c r="I630" s="317">
        <v>5323176</v>
      </c>
      <c r="J630" s="527">
        <v>23414075</v>
      </c>
      <c r="K630" s="527">
        <v>2575548</v>
      </c>
      <c r="L630" s="336">
        <f t="shared" si="202"/>
        <v>25989623</v>
      </c>
      <c r="M630" s="316">
        <f t="shared" si="199"/>
        <v>25989624</v>
      </c>
    </row>
    <row r="631" spans="1:13" s="248" customFormat="1" x14ac:dyDescent="0.25">
      <c r="A631" s="264">
        <v>45198</v>
      </c>
      <c r="B631" s="433">
        <v>45194</v>
      </c>
      <c r="C631" s="328" t="s">
        <v>6426</v>
      </c>
      <c r="D631" s="263" t="s">
        <v>376</v>
      </c>
      <c r="E631" s="265" t="s">
        <v>377</v>
      </c>
      <c r="F631" s="262" t="s">
        <v>4316</v>
      </c>
      <c r="G631" s="247" t="s">
        <v>6405</v>
      </c>
      <c r="H631" s="316">
        <v>122035200</v>
      </c>
      <c r="I631" s="317">
        <v>23061684</v>
      </c>
      <c r="J631" s="527">
        <v>89165329</v>
      </c>
      <c r="K631" s="527">
        <v>9808186</v>
      </c>
      <c r="L631" s="336">
        <f t="shared" si="202"/>
        <v>98973515</v>
      </c>
      <c r="M631" s="316">
        <f t="shared" si="199"/>
        <v>98973516</v>
      </c>
    </row>
    <row r="632" spans="1:13" s="248" customFormat="1" x14ac:dyDescent="0.25">
      <c r="A632" s="264">
        <v>45201</v>
      </c>
      <c r="B632" s="433">
        <v>45195</v>
      </c>
      <c r="C632" s="328" t="s">
        <v>6446</v>
      </c>
      <c r="D632" s="263" t="s">
        <v>376</v>
      </c>
      <c r="E632" s="265" t="s">
        <v>377</v>
      </c>
      <c r="F632" s="262" t="s">
        <v>4316</v>
      </c>
      <c r="G632" s="247" t="s">
        <v>6406</v>
      </c>
      <c r="H632" s="316">
        <v>6891200</v>
      </c>
      <c r="I632" s="317">
        <v>1171504</v>
      </c>
      <c r="J632" s="527">
        <v>5152281</v>
      </c>
      <c r="K632" s="527">
        <v>566750</v>
      </c>
      <c r="L632" s="336">
        <f t="shared" si="202"/>
        <v>5719031</v>
      </c>
      <c r="M632" s="316">
        <f t="shared" si="199"/>
        <v>5719696</v>
      </c>
    </row>
    <row r="633" spans="1:13" s="248" customFormat="1" x14ac:dyDescent="0.25">
      <c r="A633" s="264">
        <v>45201</v>
      </c>
      <c r="B633" s="433">
        <v>45196</v>
      </c>
      <c r="C633" s="328" t="s">
        <v>6447</v>
      </c>
      <c r="D633" s="263" t="s">
        <v>376</v>
      </c>
      <c r="E633" s="265" t="s">
        <v>377</v>
      </c>
      <c r="F633" s="262" t="s">
        <v>4316</v>
      </c>
      <c r="G633" s="247" t="s">
        <v>6407</v>
      </c>
      <c r="H633" s="316">
        <v>7732800</v>
      </c>
      <c r="I633" s="317">
        <v>1314576</v>
      </c>
      <c r="J633" s="527">
        <v>5782183</v>
      </c>
      <c r="K633" s="527">
        <v>636040</v>
      </c>
      <c r="L633" s="336">
        <f t="shared" ref="L633" si="203">SUM(J633:K633)</f>
        <v>6418223</v>
      </c>
      <c r="M633" s="316">
        <f t="shared" ref="M633" si="204">H633-I633</f>
        <v>6418224</v>
      </c>
    </row>
    <row r="634" spans="1:13" ht="18" x14ac:dyDescent="0.25">
      <c r="A634" s="435" t="s">
        <v>38</v>
      </c>
      <c r="B634" s="434"/>
      <c r="C634" s="437"/>
      <c r="D634" s="436"/>
      <c r="E634" s="441"/>
      <c r="F634" s="441"/>
      <c r="G634" s="438"/>
      <c r="H634" s="336">
        <f>SUM(H575:H633)</f>
        <v>1298421337.22</v>
      </c>
      <c r="I634" s="335"/>
      <c r="J634" s="528">
        <f>SUM(J575:J633)</f>
        <v>1046943868</v>
      </c>
      <c r="K634" s="528">
        <f>SUM(K575:K633)</f>
        <v>115163799</v>
      </c>
      <c r="L634" s="337">
        <f>SUM(L575:L633)</f>
        <v>1162107667</v>
      </c>
      <c r="M634" s="337">
        <f>SUM(M575:M633)</f>
        <v>1162108365.8200002</v>
      </c>
    </row>
    <row r="635" spans="1:13" ht="18" x14ac:dyDescent="0.25">
      <c r="A635" s="432" t="s">
        <v>107</v>
      </c>
      <c r="B635" s="432"/>
      <c r="C635" s="344"/>
      <c r="D635" s="343"/>
      <c r="E635" s="440"/>
      <c r="F635" s="440"/>
      <c r="G635" s="343"/>
      <c r="H635" s="345"/>
      <c r="I635" s="345"/>
      <c r="J635" s="526"/>
      <c r="K635" s="526"/>
      <c r="L635" s="612"/>
      <c r="M635" s="346"/>
    </row>
    <row r="636" spans="1:13" s="248" customFormat="1" x14ac:dyDescent="0.25">
      <c r="A636" s="264">
        <v>45208</v>
      </c>
      <c r="B636" s="433">
        <v>45203</v>
      </c>
      <c r="C636" s="328" t="s">
        <v>6631</v>
      </c>
      <c r="D636" s="524" t="s">
        <v>297</v>
      </c>
      <c r="E636" s="523" t="s">
        <v>369</v>
      </c>
      <c r="F636" s="262" t="s">
        <v>395</v>
      </c>
      <c r="G636" s="247" t="s">
        <v>6878</v>
      </c>
      <c r="H636" s="316">
        <v>1912207.5</v>
      </c>
      <c r="I636" s="317">
        <v>0</v>
      </c>
      <c r="J636" s="527">
        <v>1722709</v>
      </c>
      <c r="K636" s="527">
        <v>189498</v>
      </c>
      <c r="L636" s="336">
        <f t="shared" ref="L636:L640" si="205">SUM(J636:K636)</f>
        <v>1912207</v>
      </c>
      <c r="M636" s="316">
        <f t="shared" ref="M636:M640" si="206">H636-I636</f>
        <v>1912207.5</v>
      </c>
    </row>
    <row r="637" spans="1:13" s="248" customFormat="1" x14ac:dyDescent="0.25">
      <c r="A637" s="264">
        <v>45208</v>
      </c>
      <c r="B637" s="433">
        <v>45174</v>
      </c>
      <c r="C637" s="328" t="s">
        <v>6632</v>
      </c>
      <c r="D637" s="524" t="s">
        <v>297</v>
      </c>
      <c r="E637" s="523" t="s">
        <v>369</v>
      </c>
      <c r="F637" s="262" t="s">
        <v>395</v>
      </c>
      <c r="G637" s="247" t="s">
        <v>6879</v>
      </c>
      <c r="H637" s="316">
        <v>2378040</v>
      </c>
      <c r="I637" s="317">
        <v>0</v>
      </c>
      <c r="J637" s="527">
        <v>2142378</v>
      </c>
      <c r="K637" s="527">
        <v>235661</v>
      </c>
      <c r="L637" s="336">
        <f t="shared" si="205"/>
        <v>2378039</v>
      </c>
      <c r="M637" s="316">
        <f t="shared" si="206"/>
        <v>2378040</v>
      </c>
    </row>
    <row r="638" spans="1:13" s="248" customFormat="1" x14ac:dyDescent="0.25">
      <c r="A638" s="264">
        <v>45208</v>
      </c>
      <c r="B638" s="433">
        <v>45205</v>
      </c>
      <c r="C638" s="328" t="s">
        <v>6633</v>
      </c>
      <c r="D638" s="524" t="s">
        <v>297</v>
      </c>
      <c r="E638" s="523" t="s">
        <v>369</v>
      </c>
      <c r="F638" s="262" t="s">
        <v>395</v>
      </c>
      <c r="G638" s="247" t="s">
        <v>6880</v>
      </c>
      <c r="H638" s="316">
        <v>2878785</v>
      </c>
      <c r="I638" s="317">
        <v>0</v>
      </c>
      <c r="J638" s="527">
        <v>2593500</v>
      </c>
      <c r="K638" s="527">
        <v>285285</v>
      </c>
      <c r="L638" s="336">
        <f t="shared" si="205"/>
        <v>2878785</v>
      </c>
      <c r="M638" s="316">
        <f t="shared" si="206"/>
        <v>2878785</v>
      </c>
    </row>
    <row r="639" spans="1:13" s="248" customFormat="1" x14ac:dyDescent="0.25">
      <c r="A639" s="264">
        <v>45210</v>
      </c>
      <c r="B639" s="433">
        <v>45208</v>
      </c>
      <c r="C639" s="328" t="s">
        <v>6634</v>
      </c>
      <c r="D639" s="524" t="s">
        <v>297</v>
      </c>
      <c r="E639" s="523" t="s">
        <v>369</v>
      </c>
      <c r="F639" s="262" t="s">
        <v>395</v>
      </c>
      <c r="G639" s="247" t="s">
        <v>6881</v>
      </c>
      <c r="H639" s="316">
        <v>5673780</v>
      </c>
      <c r="I639" s="317">
        <v>0</v>
      </c>
      <c r="J639" s="527">
        <v>5111513</v>
      </c>
      <c r="K639" s="527">
        <v>562266</v>
      </c>
      <c r="L639" s="336">
        <f t="shared" si="205"/>
        <v>5673779</v>
      </c>
      <c r="M639" s="316">
        <f t="shared" si="206"/>
        <v>5673780</v>
      </c>
    </row>
    <row r="640" spans="1:13" s="248" customFormat="1" x14ac:dyDescent="0.25">
      <c r="A640" s="264">
        <v>45210</v>
      </c>
      <c r="B640" s="433">
        <v>45208</v>
      </c>
      <c r="C640" s="328" t="s">
        <v>6635</v>
      </c>
      <c r="D640" s="524" t="s">
        <v>297</v>
      </c>
      <c r="E640" s="523" t="s">
        <v>369</v>
      </c>
      <c r="F640" s="262" t="s">
        <v>395</v>
      </c>
      <c r="G640" s="247" t="s">
        <v>6882</v>
      </c>
      <c r="H640" s="316">
        <v>49354077</v>
      </c>
      <c r="I640" s="317">
        <v>135432</v>
      </c>
      <c r="J640" s="527">
        <v>44341121</v>
      </c>
      <c r="K640" s="527">
        <v>4877523</v>
      </c>
      <c r="L640" s="336">
        <f t="shared" si="205"/>
        <v>49218644</v>
      </c>
      <c r="M640" s="316">
        <f t="shared" si="206"/>
        <v>49218645</v>
      </c>
    </row>
    <row r="641" spans="1:13" s="248" customFormat="1" x14ac:dyDescent="0.25">
      <c r="A641" s="264">
        <v>45213</v>
      </c>
      <c r="B641" s="433">
        <v>45209</v>
      </c>
      <c r="C641" s="328" t="s">
        <v>6650</v>
      </c>
      <c r="D641" s="524" t="s">
        <v>297</v>
      </c>
      <c r="E641" s="523" t="s">
        <v>369</v>
      </c>
      <c r="F641" s="262" t="s">
        <v>395</v>
      </c>
      <c r="G641" s="247" t="s">
        <v>6883</v>
      </c>
      <c r="H641" s="316">
        <v>5589990</v>
      </c>
      <c r="I641" s="317">
        <v>0</v>
      </c>
      <c r="J641" s="527">
        <v>5036027</v>
      </c>
      <c r="K641" s="527">
        <v>553962</v>
      </c>
      <c r="L641" s="336">
        <f t="shared" ref="L641:L644" si="207">SUM(J641:K641)</f>
        <v>5589989</v>
      </c>
      <c r="M641" s="316">
        <f t="shared" ref="M641:M644" si="208">H641-I641</f>
        <v>5589990</v>
      </c>
    </row>
    <row r="642" spans="1:13" s="248" customFormat="1" x14ac:dyDescent="0.25">
      <c r="A642" s="264">
        <v>45213</v>
      </c>
      <c r="B642" s="433">
        <v>45210</v>
      </c>
      <c r="C642" s="328" t="s">
        <v>6651</v>
      </c>
      <c r="D642" s="524" t="s">
        <v>297</v>
      </c>
      <c r="E642" s="523" t="s">
        <v>369</v>
      </c>
      <c r="F642" s="262" t="s">
        <v>395</v>
      </c>
      <c r="G642" s="247" t="s">
        <v>6884</v>
      </c>
      <c r="H642" s="316">
        <v>7947852</v>
      </c>
      <c r="I642" s="317">
        <v>135432</v>
      </c>
      <c r="J642" s="527">
        <v>7038216</v>
      </c>
      <c r="K642" s="527">
        <v>774203</v>
      </c>
      <c r="L642" s="336">
        <f t="shared" si="207"/>
        <v>7812419</v>
      </c>
      <c r="M642" s="316">
        <f t="shared" si="208"/>
        <v>7812420</v>
      </c>
    </row>
    <row r="643" spans="1:13" s="248" customFormat="1" x14ac:dyDescent="0.25">
      <c r="A643" s="264">
        <v>45213</v>
      </c>
      <c r="B643" s="433">
        <v>45210</v>
      </c>
      <c r="C643" s="328" t="s">
        <v>6652</v>
      </c>
      <c r="D643" s="524" t="s">
        <v>297</v>
      </c>
      <c r="E643" s="523" t="s">
        <v>369</v>
      </c>
      <c r="F643" s="262" t="s">
        <v>395</v>
      </c>
      <c r="G643" s="247" t="s">
        <v>6885</v>
      </c>
      <c r="H643" s="316">
        <v>1935150</v>
      </c>
      <c r="I643" s="317">
        <v>0</v>
      </c>
      <c r="J643" s="527">
        <v>1743378</v>
      </c>
      <c r="K643" s="527">
        <v>191771</v>
      </c>
      <c r="L643" s="336">
        <f t="shared" si="207"/>
        <v>1935149</v>
      </c>
      <c r="M643" s="316">
        <f t="shared" si="208"/>
        <v>1935150</v>
      </c>
    </row>
    <row r="644" spans="1:13" s="248" customFormat="1" x14ac:dyDescent="0.25">
      <c r="A644" s="264">
        <v>45215</v>
      </c>
      <c r="B644" s="433">
        <v>45211</v>
      </c>
      <c r="C644" s="328" t="s">
        <v>6887</v>
      </c>
      <c r="D644" s="524" t="s">
        <v>297</v>
      </c>
      <c r="E644" s="523" t="s">
        <v>369</v>
      </c>
      <c r="F644" s="262" t="s">
        <v>395</v>
      </c>
      <c r="G644" s="247" t="s">
        <v>6886</v>
      </c>
      <c r="H644" s="316">
        <v>17456791.5</v>
      </c>
      <c r="I644" s="317">
        <v>270864</v>
      </c>
      <c r="J644" s="527">
        <v>15482817</v>
      </c>
      <c r="K644" s="527">
        <v>1703109</v>
      </c>
      <c r="L644" s="336">
        <f t="shared" si="207"/>
        <v>17185926</v>
      </c>
      <c r="M644" s="316">
        <f t="shared" si="208"/>
        <v>17185927.5</v>
      </c>
    </row>
    <row r="645" spans="1:13" s="248" customFormat="1" x14ac:dyDescent="0.25">
      <c r="A645" s="264">
        <v>45216</v>
      </c>
      <c r="B645" s="433">
        <v>45213</v>
      </c>
      <c r="C645" s="328" t="s">
        <v>6682</v>
      </c>
      <c r="D645" s="524" t="s">
        <v>297</v>
      </c>
      <c r="E645" s="523" t="s">
        <v>369</v>
      </c>
      <c r="F645" s="262" t="s">
        <v>395</v>
      </c>
      <c r="G645" s="247" t="s">
        <v>6888</v>
      </c>
      <c r="H645" s="316">
        <v>21517842</v>
      </c>
      <c r="I645" s="317">
        <v>135432</v>
      </c>
      <c r="J645" s="527">
        <v>19263432</v>
      </c>
      <c r="K645" s="527">
        <v>2118977</v>
      </c>
      <c r="L645" s="336">
        <f t="shared" ref="L645:L648" si="209">SUM(J645:K645)</f>
        <v>21382409</v>
      </c>
      <c r="M645" s="316">
        <f t="shared" ref="M645:M648" si="210">H645-I645</f>
        <v>21382410</v>
      </c>
    </row>
    <row r="646" spans="1:13" s="248" customFormat="1" x14ac:dyDescent="0.25">
      <c r="A646" s="264">
        <v>45218</v>
      </c>
      <c r="B646" s="433">
        <v>45215</v>
      </c>
      <c r="C646" s="328" t="s">
        <v>6683</v>
      </c>
      <c r="D646" s="524" t="s">
        <v>297</v>
      </c>
      <c r="E646" s="523" t="s">
        <v>369</v>
      </c>
      <c r="F646" s="262" t="s">
        <v>395</v>
      </c>
      <c r="G646" s="247" t="s">
        <v>7080</v>
      </c>
      <c r="H646" s="316">
        <v>3602970</v>
      </c>
      <c r="I646" s="317">
        <v>0</v>
      </c>
      <c r="J646" s="527">
        <v>3245918</v>
      </c>
      <c r="K646" s="527">
        <v>357051</v>
      </c>
      <c r="L646" s="336">
        <f t="shared" si="209"/>
        <v>3602969</v>
      </c>
      <c r="M646" s="316">
        <f t="shared" si="210"/>
        <v>3602970</v>
      </c>
    </row>
    <row r="647" spans="1:13" s="248" customFormat="1" x14ac:dyDescent="0.25">
      <c r="A647" s="264">
        <v>45218</v>
      </c>
      <c r="B647" s="433">
        <v>45216</v>
      </c>
      <c r="C647" s="328" t="s">
        <v>6684</v>
      </c>
      <c r="D647" s="524" t="s">
        <v>297</v>
      </c>
      <c r="E647" s="523" t="s">
        <v>369</v>
      </c>
      <c r="F647" s="262" t="s">
        <v>395</v>
      </c>
      <c r="G647" s="247" t="s">
        <v>7081</v>
      </c>
      <c r="H647" s="316">
        <v>34286070</v>
      </c>
      <c r="I647" s="317">
        <v>0</v>
      </c>
      <c r="J647" s="527">
        <v>30888351</v>
      </c>
      <c r="K647" s="527">
        <v>3397718</v>
      </c>
      <c r="L647" s="336">
        <f t="shared" si="209"/>
        <v>34286069</v>
      </c>
      <c r="M647" s="316">
        <f t="shared" si="210"/>
        <v>34286070</v>
      </c>
    </row>
    <row r="648" spans="1:13" s="248" customFormat="1" x14ac:dyDescent="0.25">
      <c r="A648" s="264">
        <v>45218</v>
      </c>
      <c r="B648" s="433">
        <v>45216</v>
      </c>
      <c r="C648" s="328" t="s">
        <v>6685</v>
      </c>
      <c r="D648" s="524" t="s">
        <v>297</v>
      </c>
      <c r="E648" s="523" t="s">
        <v>369</v>
      </c>
      <c r="F648" s="262" t="s">
        <v>395</v>
      </c>
      <c r="G648" s="247" t="s">
        <v>7082</v>
      </c>
      <c r="H648" s="316">
        <v>24270172.5</v>
      </c>
      <c r="I648" s="317">
        <v>0</v>
      </c>
      <c r="J648" s="527">
        <v>21865020</v>
      </c>
      <c r="K648" s="527">
        <v>2405152</v>
      </c>
      <c r="L648" s="336">
        <f t="shared" si="209"/>
        <v>24270172</v>
      </c>
      <c r="M648" s="316">
        <f t="shared" si="210"/>
        <v>24270172.5</v>
      </c>
    </row>
    <row r="649" spans="1:13" s="248" customFormat="1" x14ac:dyDescent="0.25">
      <c r="A649" s="264">
        <v>45222</v>
      </c>
      <c r="B649" s="433">
        <v>45218</v>
      </c>
      <c r="C649" s="328" t="s">
        <v>6704</v>
      </c>
      <c r="D649" s="524" t="s">
        <v>297</v>
      </c>
      <c r="E649" s="523" t="s">
        <v>369</v>
      </c>
      <c r="F649" s="262" t="s">
        <v>395</v>
      </c>
      <c r="G649" s="247" t="s">
        <v>7083</v>
      </c>
      <c r="H649" s="316">
        <v>40491018.75</v>
      </c>
      <c r="I649" s="317">
        <v>0</v>
      </c>
      <c r="J649" s="527">
        <v>36478395</v>
      </c>
      <c r="K649" s="527">
        <v>4012623</v>
      </c>
      <c r="L649" s="336">
        <f t="shared" ref="L649:L651" si="211">SUM(J649:K649)</f>
        <v>40491018</v>
      </c>
      <c r="M649" s="316">
        <f t="shared" ref="M649:M651" si="212">H649-I649</f>
        <v>40491018.75</v>
      </c>
    </row>
    <row r="650" spans="1:13" s="248" customFormat="1" x14ac:dyDescent="0.25">
      <c r="A650" s="264">
        <v>45222</v>
      </c>
      <c r="B650" s="433">
        <v>45218</v>
      </c>
      <c r="C650" s="328" t="s">
        <v>6705</v>
      </c>
      <c r="D650" s="524" t="s">
        <v>297</v>
      </c>
      <c r="E650" s="523" t="s">
        <v>369</v>
      </c>
      <c r="F650" s="262" t="s">
        <v>395</v>
      </c>
      <c r="G650" s="247" t="s">
        <v>7084</v>
      </c>
      <c r="H650" s="316">
        <v>14627340</v>
      </c>
      <c r="I650" s="317">
        <v>0</v>
      </c>
      <c r="J650" s="527">
        <v>13177783</v>
      </c>
      <c r="K650" s="527">
        <v>1449556</v>
      </c>
      <c r="L650" s="336">
        <f t="shared" si="211"/>
        <v>14627339</v>
      </c>
      <c r="M650" s="316">
        <f t="shared" si="212"/>
        <v>14627340</v>
      </c>
    </row>
    <row r="651" spans="1:13" s="248" customFormat="1" x14ac:dyDescent="0.25">
      <c r="A651" s="264">
        <v>45222</v>
      </c>
      <c r="B651" s="433">
        <v>45219</v>
      </c>
      <c r="C651" s="328" t="s">
        <v>6706</v>
      </c>
      <c r="D651" s="524" t="s">
        <v>297</v>
      </c>
      <c r="E651" s="523" t="s">
        <v>369</v>
      </c>
      <c r="F651" s="262" t="s">
        <v>395</v>
      </c>
      <c r="G651" s="247" t="s">
        <v>7085</v>
      </c>
      <c r="H651" s="316">
        <v>4105710</v>
      </c>
      <c r="I651" s="317">
        <v>0</v>
      </c>
      <c r="J651" s="527">
        <v>3698837</v>
      </c>
      <c r="K651" s="527">
        <v>406872</v>
      </c>
      <c r="L651" s="336">
        <f t="shared" si="211"/>
        <v>4105709</v>
      </c>
      <c r="M651" s="316">
        <f t="shared" si="212"/>
        <v>4105710</v>
      </c>
    </row>
    <row r="652" spans="1:13" s="248" customFormat="1" x14ac:dyDescent="0.25">
      <c r="A652" s="264">
        <v>45225</v>
      </c>
      <c r="B652" s="433">
        <v>45220</v>
      </c>
      <c r="C652" s="328" t="s">
        <v>6715</v>
      </c>
      <c r="D652" s="524" t="s">
        <v>297</v>
      </c>
      <c r="E652" s="523" t="s">
        <v>369</v>
      </c>
      <c r="F652" s="262" t="s">
        <v>395</v>
      </c>
      <c r="G652" s="247" t="s">
        <v>7086</v>
      </c>
      <c r="H652" s="316">
        <v>7464625</v>
      </c>
      <c r="I652" s="317">
        <v>0</v>
      </c>
      <c r="J652" s="527">
        <v>6724887</v>
      </c>
      <c r="K652" s="527">
        <v>739737</v>
      </c>
      <c r="L652" s="336">
        <f t="shared" ref="L652:L653" si="213">SUM(J652:K652)</f>
        <v>7464624</v>
      </c>
      <c r="M652" s="316">
        <f t="shared" ref="M652:M653" si="214">H652-I652</f>
        <v>7464625</v>
      </c>
    </row>
    <row r="653" spans="1:13" s="248" customFormat="1" x14ac:dyDescent="0.25">
      <c r="A653" s="264">
        <v>45225</v>
      </c>
      <c r="B653" s="433">
        <v>45222</v>
      </c>
      <c r="C653" s="328" t="s">
        <v>6716</v>
      </c>
      <c r="D653" s="524" t="s">
        <v>297</v>
      </c>
      <c r="E653" s="523" t="s">
        <v>369</v>
      </c>
      <c r="F653" s="262" t="s">
        <v>395</v>
      </c>
      <c r="G653" s="247" t="s">
        <v>7099</v>
      </c>
      <c r="H653" s="316">
        <v>14770296</v>
      </c>
      <c r="I653" s="317">
        <v>406296</v>
      </c>
      <c r="J653" s="527">
        <v>12940540</v>
      </c>
      <c r="K653" s="527">
        <v>1423459</v>
      </c>
      <c r="L653" s="336">
        <f t="shared" si="213"/>
        <v>14363999</v>
      </c>
      <c r="M653" s="316">
        <f t="shared" si="214"/>
        <v>14364000</v>
      </c>
    </row>
    <row r="654" spans="1:13" s="248" customFormat="1" x14ac:dyDescent="0.25">
      <c r="A654" s="264">
        <v>45227</v>
      </c>
      <c r="B654" s="433">
        <v>45223</v>
      </c>
      <c r="C654" s="328" t="s">
        <v>6731</v>
      </c>
      <c r="D654" s="524" t="s">
        <v>297</v>
      </c>
      <c r="E654" s="523" t="s">
        <v>369</v>
      </c>
      <c r="F654" s="262" t="s">
        <v>395</v>
      </c>
      <c r="G654" s="247" t="s">
        <v>7087</v>
      </c>
      <c r="H654" s="316">
        <v>2334150</v>
      </c>
      <c r="I654" s="317">
        <v>0</v>
      </c>
      <c r="J654" s="527">
        <v>2102837</v>
      </c>
      <c r="K654" s="527">
        <v>231312</v>
      </c>
      <c r="L654" s="336">
        <f t="shared" ref="L654:L660" si="215">SUM(J654:K654)</f>
        <v>2334149</v>
      </c>
      <c r="M654" s="316">
        <f t="shared" ref="M654:M663" si="216">H654-I654</f>
        <v>2334150</v>
      </c>
    </row>
    <row r="655" spans="1:13" s="248" customFormat="1" x14ac:dyDescent="0.25">
      <c r="A655" s="264">
        <v>45227</v>
      </c>
      <c r="B655" s="433">
        <v>45223</v>
      </c>
      <c r="C655" s="328" t="s">
        <v>6732</v>
      </c>
      <c r="D655" s="524" t="s">
        <v>297</v>
      </c>
      <c r="E655" s="523" t="s">
        <v>369</v>
      </c>
      <c r="F655" s="262" t="s">
        <v>395</v>
      </c>
      <c r="G655" s="247" t="s">
        <v>7088</v>
      </c>
      <c r="H655" s="316">
        <v>1149120</v>
      </c>
      <c r="I655" s="317">
        <v>0</v>
      </c>
      <c r="J655" s="527">
        <v>1035243</v>
      </c>
      <c r="K655" s="527">
        <v>113876</v>
      </c>
      <c r="L655" s="336">
        <f t="shared" si="215"/>
        <v>1149119</v>
      </c>
      <c r="M655" s="316">
        <f t="shared" si="216"/>
        <v>1149120</v>
      </c>
    </row>
    <row r="656" spans="1:13" s="248" customFormat="1" x14ac:dyDescent="0.25">
      <c r="A656" s="264">
        <v>45227</v>
      </c>
      <c r="B656" s="433">
        <v>45224</v>
      </c>
      <c r="C656" s="328" t="s">
        <v>6733</v>
      </c>
      <c r="D656" s="524" t="s">
        <v>297</v>
      </c>
      <c r="E656" s="523" t="s">
        <v>369</v>
      </c>
      <c r="F656" s="262" t="s">
        <v>395</v>
      </c>
      <c r="G656" s="247" t="s">
        <v>7089</v>
      </c>
      <c r="H656" s="316">
        <v>7106688.75</v>
      </c>
      <c r="I656" s="317">
        <v>0</v>
      </c>
      <c r="J656" s="527">
        <v>6402422</v>
      </c>
      <c r="K656" s="527">
        <v>704266</v>
      </c>
      <c r="L656" s="336">
        <f t="shared" si="215"/>
        <v>7106688</v>
      </c>
      <c r="M656" s="316">
        <f t="shared" si="216"/>
        <v>7106688.75</v>
      </c>
    </row>
    <row r="657" spans="1:13" s="248" customFormat="1" x14ac:dyDescent="0.25">
      <c r="A657" s="264">
        <v>45229</v>
      </c>
      <c r="B657" s="433">
        <v>45225</v>
      </c>
      <c r="C657" s="328" t="s">
        <v>6734</v>
      </c>
      <c r="D657" s="524" t="s">
        <v>297</v>
      </c>
      <c r="E657" s="523" t="s">
        <v>369</v>
      </c>
      <c r="F657" s="262" t="s">
        <v>395</v>
      </c>
      <c r="G657" s="247" t="s">
        <v>7090</v>
      </c>
      <c r="H657" s="316">
        <v>2477790</v>
      </c>
      <c r="I657" s="317">
        <v>0</v>
      </c>
      <c r="J657" s="527">
        <v>2232243</v>
      </c>
      <c r="K657" s="527">
        <v>245546</v>
      </c>
      <c r="L657" s="336">
        <f t="shared" si="215"/>
        <v>2477789</v>
      </c>
      <c r="M657" s="316">
        <f t="shared" si="216"/>
        <v>2477790</v>
      </c>
    </row>
    <row r="658" spans="1:13" s="248" customFormat="1" x14ac:dyDescent="0.25">
      <c r="A658" s="264">
        <v>45229</v>
      </c>
      <c r="B658" s="433">
        <v>45225</v>
      </c>
      <c r="C658" s="328" t="s">
        <v>6735</v>
      </c>
      <c r="D658" s="524" t="s">
        <v>297</v>
      </c>
      <c r="E658" s="523" t="s">
        <v>369</v>
      </c>
      <c r="F658" s="262" t="s">
        <v>395</v>
      </c>
      <c r="G658" s="247" t="s">
        <v>7091</v>
      </c>
      <c r="H658" s="316">
        <v>36849645</v>
      </c>
      <c r="I658" s="317">
        <v>0</v>
      </c>
      <c r="J658" s="527">
        <v>33197878</v>
      </c>
      <c r="K658" s="527">
        <v>3651766</v>
      </c>
      <c r="L658" s="336">
        <f t="shared" si="215"/>
        <v>36849644</v>
      </c>
      <c r="M658" s="316">
        <f t="shared" si="216"/>
        <v>36849645</v>
      </c>
    </row>
    <row r="659" spans="1:13" s="248" customFormat="1" x14ac:dyDescent="0.25">
      <c r="A659" s="264">
        <v>45229</v>
      </c>
      <c r="B659" s="433">
        <v>45225</v>
      </c>
      <c r="C659" s="328" t="s">
        <v>6736</v>
      </c>
      <c r="D659" s="524" t="s">
        <v>297</v>
      </c>
      <c r="E659" s="523" t="s">
        <v>369</v>
      </c>
      <c r="F659" s="262" t="s">
        <v>395</v>
      </c>
      <c r="G659" s="247" t="s">
        <v>7092</v>
      </c>
      <c r="H659" s="316">
        <v>2836890</v>
      </c>
      <c r="I659" s="317">
        <v>0</v>
      </c>
      <c r="J659" s="527">
        <v>2555756</v>
      </c>
      <c r="K659" s="527">
        <v>281133</v>
      </c>
      <c r="L659" s="336">
        <f t="shared" si="215"/>
        <v>2836889</v>
      </c>
      <c r="M659" s="316">
        <f t="shared" si="216"/>
        <v>2836890</v>
      </c>
    </row>
    <row r="660" spans="1:13" s="248" customFormat="1" x14ac:dyDescent="0.25">
      <c r="A660" s="264">
        <v>45229</v>
      </c>
      <c r="B660" s="433">
        <v>45225</v>
      </c>
      <c r="C660" s="328" t="s">
        <v>6737</v>
      </c>
      <c r="D660" s="524" t="s">
        <v>297</v>
      </c>
      <c r="E660" s="523" t="s">
        <v>369</v>
      </c>
      <c r="F660" s="262" t="s">
        <v>395</v>
      </c>
      <c r="G660" s="247" t="s">
        <v>7093</v>
      </c>
      <c r="H660" s="316">
        <v>3716685</v>
      </c>
      <c r="I660" s="317">
        <v>0</v>
      </c>
      <c r="J660" s="527">
        <v>3348364</v>
      </c>
      <c r="K660" s="527">
        <v>368320</v>
      </c>
      <c r="L660" s="336">
        <f t="shared" si="215"/>
        <v>3716684</v>
      </c>
      <c r="M660" s="316">
        <f t="shared" si="216"/>
        <v>3716685</v>
      </c>
    </row>
    <row r="661" spans="1:13" s="248" customFormat="1" x14ac:dyDescent="0.25">
      <c r="A661" s="264">
        <v>45231</v>
      </c>
      <c r="B661" s="433">
        <v>45227</v>
      </c>
      <c r="C661" s="328" t="s">
        <v>6868</v>
      </c>
      <c r="D661" s="524" t="s">
        <v>297</v>
      </c>
      <c r="E661" s="523" t="s">
        <v>369</v>
      </c>
      <c r="F661" s="262" t="s">
        <v>395</v>
      </c>
      <c r="G661" s="247" t="s">
        <v>7094</v>
      </c>
      <c r="H661" s="316">
        <v>5028397.5</v>
      </c>
      <c r="I661" s="317">
        <v>0</v>
      </c>
      <c r="J661" s="527">
        <v>4530087</v>
      </c>
      <c r="K661" s="527">
        <v>498309</v>
      </c>
      <c r="L661" s="336">
        <f t="shared" ref="L661:L663" si="217">SUM(J661:K661)</f>
        <v>5028396</v>
      </c>
      <c r="M661" s="316">
        <f t="shared" si="216"/>
        <v>5028397.5</v>
      </c>
    </row>
    <row r="662" spans="1:13" s="248" customFormat="1" x14ac:dyDescent="0.25">
      <c r="A662" s="264">
        <v>45231</v>
      </c>
      <c r="B662" s="433">
        <v>45227</v>
      </c>
      <c r="C662" s="328" t="s">
        <v>6869</v>
      </c>
      <c r="D662" s="524" t="s">
        <v>297</v>
      </c>
      <c r="E662" s="523" t="s">
        <v>369</v>
      </c>
      <c r="F662" s="262" t="s">
        <v>395</v>
      </c>
      <c r="G662" s="247" t="s">
        <v>7095</v>
      </c>
      <c r="H662" s="316">
        <v>5650006.25</v>
      </c>
      <c r="I662" s="317">
        <v>0</v>
      </c>
      <c r="J662" s="527">
        <v>5090095</v>
      </c>
      <c r="K662" s="527">
        <v>559910</v>
      </c>
      <c r="L662" s="336">
        <f t="shared" si="217"/>
        <v>5650005</v>
      </c>
      <c r="M662" s="316">
        <f t="shared" si="216"/>
        <v>5650006.25</v>
      </c>
    </row>
    <row r="663" spans="1:13" s="248" customFormat="1" x14ac:dyDescent="0.25">
      <c r="A663" s="264">
        <v>45232</v>
      </c>
      <c r="B663" s="433">
        <v>45230</v>
      </c>
      <c r="C663" s="328" t="s">
        <v>7097</v>
      </c>
      <c r="D663" s="524" t="s">
        <v>297</v>
      </c>
      <c r="E663" s="523" t="s">
        <v>369</v>
      </c>
      <c r="F663" s="262" t="s">
        <v>395</v>
      </c>
      <c r="G663" s="247" t="s">
        <v>7096</v>
      </c>
      <c r="H663" s="316">
        <v>2880281.25</v>
      </c>
      <c r="I663" s="317">
        <v>0</v>
      </c>
      <c r="J663" s="527">
        <v>2594847</v>
      </c>
      <c r="K663" s="527">
        <v>285433</v>
      </c>
      <c r="L663" s="336">
        <f t="shared" si="217"/>
        <v>2880280</v>
      </c>
      <c r="M663" s="316">
        <f t="shared" si="216"/>
        <v>2880281.25</v>
      </c>
    </row>
    <row r="664" spans="1:13" s="248" customFormat="1" x14ac:dyDescent="0.25">
      <c r="A664" s="264">
        <v>45232</v>
      </c>
      <c r="B664" s="433">
        <v>45230</v>
      </c>
      <c r="C664" s="328" t="s">
        <v>6974</v>
      </c>
      <c r="D664" s="524" t="s">
        <v>297</v>
      </c>
      <c r="E664" s="523" t="s">
        <v>369</v>
      </c>
      <c r="F664" s="262" t="s">
        <v>395</v>
      </c>
      <c r="G664" s="247" t="s">
        <v>7098</v>
      </c>
      <c r="H664" s="316">
        <v>1704062.5</v>
      </c>
      <c r="I664" s="317">
        <v>0</v>
      </c>
      <c r="J664" s="527">
        <v>1535191</v>
      </c>
      <c r="K664" s="527">
        <v>168871</v>
      </c>
      <c r="L664" s="336">
        <f t="shared" ref="L664" si="218">SUM(J664:K664)</f>
        <v>1704062</v>
      </c>
      <c r="M664" s="316">
        <f t="shared" ref="M664" si="219">H664-I664</f>
        <v>1704062.5</v>
      </c>
    </row>
    <row r="665" spans="1:13" s="248" customFormat="1" x14ac:dyDescent="0.25">
      <c r="A665" s="264">
        <v>45213</v>
      </c>
      <c r="B665" s="433">
        <v>45211</v>
      </c>
      <c r="C665" s="328" t="s">
        <v>6674</v>
      </c>
      <c r="D665" s="263" t="s">
        <v>303</v>
      </c>
      <c r="E665" s="265" t="s">
        <v>373</v>
      </c>
      <c r="F665" s="262" t="s">
        <v>4317</v>
      </c>
      <c r="G665" s="247" t="s">
        <v>6673</v>
      </c>
      <c r="H665" s="316">
        <v>29200000</v>
      </c>
      <c r="I665" s="317">
        <v>2800000</v>
      </c>
      <c r="J665" s="527">
        <f t="shared" ref="J665:J668" si="220">(H665-I665)/1.11</f>
        <v>23783783.783783782</v>
      </c>
      <c r="K665" s="527">
        <f t="shared" ref="K665:K668" si="221">J665*11%</f>
        <v>2616216.2162162159</v>
      </c>
      <c r="L665" s="336">
        <f t="shared" ref="L665:L668" si="222">SUM(J665:K665)</f>
        <v>26400000</v>
      </c>
      <c r="M665" s="316">
        <f t="shared" ref="M665:M668" si="223">H665-I665</f>
        <v>26400000</v>
      </c>
    </row>
    <row r="666" spans="1:13" s="248" customFormat="1" x14ac:dyDescent="0.25">
      <c r="A666" s="264">
        <v>45218</v>
      </c>
      <c r="B666" s="433">
        <v>45217</v>
      </c>
      <c r="C666" s="328" t="s">
        <v>6738</v>
      </c>
      <c r="D666" s="263" t="s">
        <v>303</v>
      </c>
      <c r="E666" s="265" t="s">
        <v>373</v>
      </c>
      <c r="F666" s="262" t="s">
        <v>4317</v>
      </c>
      <c r="G666" s="247" t="s">
        <v>6936</v>
      </c>
      <c r="H666" s="316">
        <v>28000000</v>
      </c>
      <c r="I666" s="317">
        <v>2800000</v>
      </c>
      <c r="J666" s="527">
        <v>22702720</v>
      </c>
      <c r="K666" s="527">
        <v>2497299</v>
      </c>
      <c r="L666" s="336">
        <f t="shared" ref="L666" si="224">SUM(J666:K666)</f>
        <v>25200019</v>
      </c>
      <c r="M666" s="316">
        <f t="shared" ref="M666" si="225">H666-I666</f>
        <v>25200000</v>
      </c>
    </row>
    <row r="667" spans="1:13" s="248" customFormat="1" x14ac:dyDescent="0.25">
      <c r="A667" s="264">
        <v>45216</v>
      </c>
      <c r="B667" s="433">
        <v>45215</v>
      </c>
      <c r="C667" s="328" t="s">
        <v>6686</v>
      </c>
      <c r="D667" s="263" t="s">
        <v>390</v>
      </c>
      <c r="E667" s="262" t="s">
        <v>391</v>
      </c>
      <c r="F667" s="265" t="s">
        <v>394</v>
      </c>
      <c r="G667" s="247" t="s">
        <v>7039</v>
      </c>
      <c r="H667" s="316">
        <v>59000940.000000007</v>
      </c>
      <c r="I667" s="317">
        <v>0</v>
      </c>
      <c r="J667" s="527">
        <v>53153153</v>
      </c>
      <c r="K667" s="527">
        <v>5846847</v>
      </c>
      <c r="L667" s="336">
        <f t="shared" si="222"/>
        <v>59000000</v>
      </c>
      <c r="M667" s="316">
        <f t="shared" si="223"/>
        <v>59000940.000000007</v>
      </c>
    </row>
    <row r="668" spans="1:13" s="248" customFormat="1" x14ac:dyDescent="0.25">
      <c r="A668" s="264">
        <v>45201</v>
      </c>
      <c r="B668" s="433">
        <v>45201</v>
      </c>
      <c r="C668" s="328" t="s">
        <v>6621</v>
      </c>
      <c r="D668" s="263" t="s">
        <v>376</v>
      </c>
      <c r="E668" s="265" t="s">
        <v>377</v>
      </c>
      <c r="F668" s="262" t="s">
        <v>4316</v>
      </c>
      <c r="G668" s="247" t="s">
        <v>6664</v>
      </c>
      <c r="H668" s="316">
        <v>51441600</v>
      </c>
      <c r="I668" s="317">
        <v>8745072</v>
      </c>
      <c r="J668" s="527">
        <f t="shared" si="220"/>
        <v>38465340.540540539</v>
      </c>
      <c r="K668" s="527">
        <f t="shared" si="221"/>
        <v>4231187.4594594594</v>
      </c>
      <c r="L668" s="336">
        <f t="shared" si="222"/>
        <v>42696528</v>
      </c>
      <c r="M668" s="316">
        <f t="shared" si="223"/>
        <v>42696528</v>
      </c>
    </row>
    <row r="669" spans="1:13" s="248" customFormat="1" x14ac:dyDescent="0.25">
      <c r="A669" s="264">
        <v>45201</v>
      </c>
      <c r="B669" s="433">
        <v>45201</v>
      </c>
      <c r="C669" s="328" t="s">
        <v>6622</v>
      </c>
      <c r="D669" s="263" t="s">
        <v>376</v>
      </c>
      <c r="E669" s="265" t="s">
        <v>377</v>
      </c>
      <c r="F669" s="262" t="s">
        <v>4316</v>
      </c>
      <c r="G669" s="247" t="s">
        <v>6665</v>
      </c>
      <c r="H669" s="316">
        <v>25207000</v>
      </c>
      <c r="I669" s="317">
        <v>4285190</v>
      </c>
      <c r="J669" s="527">
        <v>18848477</v>
      </c>
      <c r="K669" s="527">
        <v>2073332</v>
      </c>
      <c r="L669" s="336">
        <f t="shared" ref="L669:L678" si="226">SUM(J669:K669)</f>
        <v>20921809</v>
      </c>
      <c r="M669" s="316">
        <f t="shared" ref="M669:M678" si="227">H669-I669</f>
        <v>20921810</v>
      </c>
    </row>
    <row r="670" spans="1:13" s="248" customFormat="1" x14ac:dyDescent="0.25">
      <c r="A670" s="264">
        <v>45203</v>
      </c>
      <c r="B670" s="433">
        <v>45201</v>
      </c>
      <c r="C670" s="328" t="s">
        <v>6623</v>
      </c>
      <c r="D670" s="263" t="s">
        <v>376</v>
      </c>
      <c r="E670" s="265" t="s">
        <v>377</v>
      </c>
      <c r="F670" s="262" t="s">
        <v>4316</v>
      </c>
      <c r="G670" s="247" t="s">
        <v>6666</v>
      </c>
      <c r="H670" s="316">
        <v>94680000</v>
      </c>
      <c r="I670" s="317">
        <v>18411300</v>
      </c>
      <c r="J670" s="527">
        <v>68710540</v>
      </c>
      <c r="K670" s="527">
        <v>7558159</v>
      </c>
      <c r="L670" s="336">
        <f t="shared" si="226"/>
        <v>76268699</v>
      </c>
      <c r="M670" s="316">
        <f t="shared" si="227"/>
        <v>76268700</v>
      </c>
    </row>
    <row r="671" spans="1:13" s="248" customFormat="1" x14ac:dyDescent="0.25">
      <c r="A671" s="264">
        <v>45203</v>
      </c>
      <c r="B671" s="433">
        <v>45202</v>
      </c>
      <c r="C671" s="328" t="s">
        <v>6624</v>
      </c>
      <c r="D671" s="263" t="s">
        <v>376</v>
      </c>
      <c r="E671" s="265" t="s">
        <v>377</v>
      </c>
      <c r="F671" s="262" t="s">
        <v>4316</v>
      </c>
      <c r="G671" s="247" t="s">
        <v>6667</v>
      </c>
      <c r="H671" s="316">
        <v>23664000</v>
      </c>
      <c r="I671" s="317">
        <v>4022880</v>
      </c>
      <c r="J671" s="527">
        <v>17694702</v>
      </c>
      <c r="K671" s="527">
        <v>1946417</v>
      </c>
      <c r="L671" s="336">
        <f t="shared" si="226"/>
        <v>19641119</v>
      </c>
      <c r="M671" s="316">
        <f t="shared" si="227"/>
        <v>19641120</v>
      </c>
    </row>
    <row r="672" spans="1:13" s="248" customFormat="1" x14ac:dyDescent="0.25">
      <c r="A672" s="264">
        <v>45203</v>
      </c>
      <c r="B672" s="433">
        <v>45203</v>
      </c>
      <c r="C672" s="328" t="s">
        <v>6717</v>
      </c>
      <c r="D672" s="263" t="s">
        <v>376</v>
      </c>
      <c r="E672" s="265" t="s">
        <v>377</v>
      </c>
      <c r="F672" s="262" t="s">
        <v>4316</v>
      </c>
      <c r="G672" s="247" t="s">
        <v>6668</v>
      </c>
      <c r="H672" s="316">
        <v>11808000</v>
      </c>
      <c r="I672" s="317">
        <v>2007360.0000000002</v>
      </c>
      <c r="J672" s="527">
        <v>8829405</v>
      </c>
      <c r="K672" s="527">
        <v>971234</v>
      </c>
      <c r="L672" s="336">
        <f t="shared" ref="L672" si="228">SUM(J672:K672)</f>
        <v>9800639</v>
      </c>
      <c r="M672" s="316">
        <f t="shared" ref="M672" si="229">H672-I672</f>
        <v>9800640</v>
      </c>
    </row>
    <row r="673" spans="1:13" s="248" customFormat="1" x14ac:dyDescent="0.25">
      <c r="A673" s="264">
        <v>45208</v>
      </c>
      <c r="B673" s="433">
        <v>45204</v>
      </c>
      <c r="C673" s="328" t="s">
        <v>6625</v>
      </c>
      <c r="D673" s="263" t="s">
        <v>376</v>
      </c>
      <c r="E673" s="265" t="s">
        <v>377</v>
      </c>
      <c r="F673" s="262" t="s">
        <v>4316</v>
      </c>
      <c r="G673" s="247" t="s">
        <v>6669</v>
      </c>
      <c r="H673" s="316">
        <v>25560000</v>
      </c>
      <c r="I673" s="317">
        <v>4345200</v>
      </c>
      <c r="J673" s="527">
        <v>19112432</v>
      </c>
      <c r="K673" s="527">
        <v>2102367</v>
      </c>
      <c r="L673" s="336">
        <f t="shared" si="226"/>
        <v>21214799</v>
      </c>
      <c r="M673" s="316">
        <f t="shared" si="227"/>
        <v>21214800</v>
      </c>
    </row>
    <row r="674" spans="1:13" s="248" customFormat="1" x14ac:dyDescent="0.25">
      <c r="A674" s="264">
        <v>45208</v>
      </c>
      <c r="B674" s="433">
        <v>45205</v>
      </c>
      <c r="C674" s="328" t="s">
        <v>6626</v>
      </c>
      <c r="D674" s="263" t="s">
        <v>376</v>
      </c>
      <c r="E674" s="265" t="s">
        <v>377</v>
      </c>
      <c r="F674" s="262" t="s">
        <v>4316</v>
      </c>
      <c r="G674" s="247" t="s">
        <v>6670</v>
      </c>
      <c r="H674" s="316">
        <v>37830000</v>
      </c>
      <c r="I674" s="317">
        <v>6431100</v>
      </c>
      <c r="J674" s="527">
        <v>28287297</v>
      </c>
      <c r="K674" s="527">
        <v>3111602</v>
      </c>
      <c r="L674" s="336">
        <f t="shared" si="226"/>
        <v>31398899</v>
      </c>
      <c r="M674" s="316">
        <f t="shared" si="227"/>
        <v>31398900</v>
      </c>
    </row>
    <row r="675" spans="1:13" s="248" customFormat="1" x14ac:dyDescent="0.25">
      <c r="A675" s="264">
        <v>45208</v>
      </c>
      <c r="B675" s="433">
        <v>45205</v>
      </c>
      <c r="C675" s="328" t="s">
        <v>6627</v>
      </c>
      <c r="D675" s="263" t="s">
        <v>376</v>
      </c>
      <c r="E675" s="265" t="s">
        <v>377</v>
      </c>
      <c r="F675" s="262" t="s">
        <v>4316</v>
      </c>
      <c r="G675" s="247" t="s">
        <v>6671</v>
      </c>
      <c r="H675" s="316">
        <v>45630000</v>
      </c>
      <c r="I675" s="317">
        <v>7757100</v>
      </c>
      <c r="J675" s="527">
        <v>34119729</v>
      </c>
      <c r="K675" s="527">
        <v>3753170</v>
      </c>
      <c r="L675" s="336">
        <f t="shared" si="226"/>
        <v>37872899</v>
      </c>
      <c r="M675" s="316">
        <f t="shared" si="227"/>
        <v>37872900</v>
      </c>
    </row>
    <row r="676" spans="1:13" s="248" customFormat="1" x14ac:dyDescent="0.25">
      <c r="A676" s="264">
        <v>45208</v>
      </c>
      <c r="B676" s="433">
        <v>45206</v>
      </c>
      <c r="C676" s="328" t="s">
        <v>6628</v>
      </c>
      <c r="D676" s="263" t="s">
        <v>376</v>
      </c>
      <c r="E676" s="265" t="s">
        <v>377</v>
      </c>
      <c r="F676" s="262" t="s">
        <v>4316</v>
      </c>
      <c r="G676" s="247" t="s">
        <v>6672</v>
      </c>
      <c r="H676" s="316">
        <v>25944000</v>
      </c>
      <c r="I676" s="317">
        <v>4410480</v>
      </c>
      <c r="J676" s="527">
        <v>19399567</v>
      </c>
      <c r="K676" s="527">
        <v>2133952</v>
      </c>
      <c r="L676" s="336">
        <f t="shared" si="226"/>
        <v>21533519</v>
      </c>
      <c r="M676" s="316">
        <f t="shared" si="227"/>
        <v>21533520</v>
      </c>
    </row>
    <row r="677" spans="1:13" s="248" customFormat="1" x14ac:dyDescent="0.25">
      <c r="A677" s="264">
        <v>45210</v>
      </c>
      <c r="B677" s="433">
        <v>45208</v>
      </c>
      <c r="C677" s="328" t="s">
        <v>6629</v>
      </c>
      <c r="D677" s="263" t="s">
        <v>376</v>
      </c>
      <c r="E677" s="265" t="s">
        <v>377</v>
      </c>
      <c r="F677" s="262" t="s">
        <v>4316</v>
      </c>
      <c r="G677" s="247" t="s">
        <v>6687</v>
      </c>
      <c r="H677" s="316">
        <v>27669600</v>
      </c>
      <c r="I677" s="317">
        <v>4703832</v>
      </c>
      <c r="J677" s="527">
        <v>20689881</v>
      </c>
      <c r="K677" s="527">
        <v>2275886</v>
      </c>
      <c r="L677" s="336">
        <f t="shared" si="226"/>
        <v>22965767</v>
      </c>
      <c r="M677" s="316">
        <f t="shared" si="227"/>
        <v>22965768</v>
      </c>
    </row>
    <row r="678" spans="1:13" s="248" customFormat="1" x14ac:dyDescent="0.25">
      <c r="A678" s="264">
        <v>45210</v>
      </c>
      <c r="B678" s="433">
        <v>45209</v>
      </c>
      <c r="C678" s="328" t="s">
        <v>6630</v>
      </c>
      <c r="D678" s="263" t="s">
        <v>376</v>
      </c>
      <c r="E678" s="265" t="s">
        <v>377</v>
      </c>
      <c r="F678" s="262" t="s">
        <v>4316</v>
      </c>
      <c r="G678" s="247" t="s">
        <v>6688</v>
      </c>
      <c r="H678" s="316">
        <v>22382400</v>
      </c>
      <c r="I678" s="317">
        <v>3805008</v>
      </c>
      <c r="J678" s="527">
        <v>16736389</v>
      </c>
      <c r="K678" s="527">
        <v>1841002</v>
      </c>
      <c r="L678" s="336">
        <f t="shared" si="226"/>
        <v>18577391</v>
      </c>
      <c r="M678" s="316">
        <f t="shared" si="227"/>
        <v>18577392</v>
      </c>
    </row>
    <row r="679" spans="1:13" s="248" customFormat="1" x14ac:dyDescent="0.25">
      <c r="A679" s="264">
        <v>45213</v>
      </c>
      <c r="B679" s="433">
        <v>45210</v>
      </c>
      <c r="C679" s="328" t="s">
        <v>6653</v>
      </c>
      <c r="D679" s="263" t="s">
        <v>376</v>
      </c>
      <c r="E679" s="265" t="s">
        <v>377</v>
      </c>
      <c r="F679" s="262" t="s">
        <v>4316</v>
      </c>
      <c r="G679" s="247" t="s">
        <v>6689</v>
      </c>
      <c r="H679" s="316">
        <v>13548000</v>
      </c>
      <c r="I679" s="317">
        <v>2303160</v>
      </c>
      <c r="J679" s="527">
        <v>10130486</v>
      </c>
      <c r="K679" s="527">
        <v>1114353</v>
      </c>
      <c r="L679" s="336">
        <f t="shared" ref="L679:L681" si="230">SUM(J679:K679)</f>
        <v>11244839</v>
      </c>
      <c r="M679" s="316">
        <f t="shared" ref="M679:M681" si="231">H679-I679</f>
        <v>11244840</v>
      </c>
    </row>
    <row r="680" spans="1:13" s="248" customFormat="1" x14ac:dyDescent="0.25">
      <c r="A680" s="264">
        <v>45213</v>
      </c>
      <c r="B680" s="433">
        <v>45210</v>
      </c>
      <c r="C680" s="328" t="s">
        <v>6654</v>
      </c>
      <c r="D680" s="263" t="s">
        <v>376</v>
      </c>
      <c r="E680" s="265" t="s">
        <v>377</v>
      </c>
      <c r="F680" s="262" t="s">
        <v>4316</v>
      </c>
      <c r="G680" s="247" t="s">
        <v>6690</v>
      </c>
      <c r="H680" s="316">
        <v>1728000</v>
      </c>
      <c r="I680" s="317">
        <v>293760</v>
      </c>
      <c r="J680" s="527">
        <v>1292108</v>
      </c>
      <c r="K680" s="527">
        <v>142131</v>
      </c>
      <c r="L680" s="336">
        <f t="shared" si="230"/>
        <v>1434239</v>
      </c>
      <c r="M680" s="316">
        <f t="shared" si="231"/>
        <v>1434240</v>
      </c>
    </row>
    <row r="681" spans="1:13" s="248" customFormat="1" x14ac:dyDescent="0.25">
      <c r="A681" s="264">
        <v>45213</v>
      </c>
      <c r="B681" s="433">
        <v>45211</v>
      </c>
      <c r="C681" s="328" t="s">
        <v>6655</v>
      </c>
      <c r="D681" s="263" t="s">
        <v>376</v>
      </c>
      <c r="E681" s="265" t="s">
        <v>377</v>
      </c>
      <c r="F681" s="262" t="s">
        <v>4316</v>
      </c>
      <c r="G681" s="247" t="s">
        <v>6691</v>
      </c>
      <c r="H681" s="316">
        <v>3909600</v>
      </c>
      <c r="I681" s="317">
        <v>664632</v>
      </c>
      <c r="J681" s="527">
        <v>2923394</v>
      </c>
      <c r="K681" s="527">
        <v>321573</v>
      </c>
      <c r="L681" s="336">
        <f t="shared" si="230"/>
        <v>3244967</v>
      </c>
      <c r="M681" s="316">
        <f t="shared" si="231"/>
        <v>3244968</v>
      </c>
    </row>
    <row r="682" spans="1:13" s="248" customFormat="1" x14ac:dyDescent="0.25">
      <c r="A682" s="264">
        <v>45215</v>
      </c>
      <c r="B682" s="433">
        <v>45212</v>
      </c>
      <c r="C682" s="328" t="s">
        <v>6675</v>
      </c>
      <c r="D682" s="263" t="s">
        <v>376</v>
      </c>
      <c r="E682" s="265" t="s">
        <v>377</v>
      </c>
      <c r="F682" s="262" t="s">
        <v>4316</v>
      </c>
      <c r="G682" s="247" t="s">
        <v>6692</v>
      </c>
      <c r="H682" s="316">
        <v>46254000</v>
      </c>
      <c r="I682" s="317">
        <v>7863180</v>
      </c>
      <c r="J682" s="527">
        <v>34586324</v>
      </c>
      <c r="K682" s="527">
        <v>3804495</v>
      </c>
      <c r="L682" s="336">
        <f t="shared" ref="L682:L692" si="232">SUM(J682:K682)</f>
        <v>38390819</v>
      </c>
      <c r="M682" s="316">
        <f t="shared" ref="M682:M692" si="233">H682-I682</f>
        <v>38390820</v>
      </c>
    </row>
    <row r="683" spans="1:13" s="248" customFormat="1" x14ac:dyDescent="0.25">
      <c r="A683" s="264">
        <v>45216</v>
      </c>
      <c r="B683" s="433">
        <v>45213</v>
      </c>
      <c r="C683" s="328" t="s">
        <v>6676</v>
      </c>
      <c r="D683" s="263" t="s">
        <v>376</v>
      </c>
      <c r="E683" s="265" t="s">
        <v>377</v>
      </c>
      <c r="F683" s="262" t="s">
        <v>4316</v>
      </c>
      <c r="G683" s="247" t="s">
        <v>6693</v>
      </c>
      <c r="H683" s="316">
        <v>11760000</v>
      </c>
      <c r="I683" s="317">
        <v>1999200</v>
      </c>
      <c r="J683" s="527">
        <v>8793513</v>
      </c>
      <c r="K683" s="527">
        <v>967286</v>
      </c>
      <c r="L683" s="336">
        <f t="shared" si="232"/>
        <v>9760799</v>
      </c>
      <c r="M683" s="316">
        <f t="shared" si="233"/>
        <v>9760800</v>
      </c>
    </row>
    <row r="684" spans="1:13" s="248" customFormat="1" x14ac:dyDescent="0.25">
      <c r="A684" s="264">
        <v>45216</v>
      </c>
      <c r="B684" s="433">
        <v>45215</v>
      </c>
      <c r="C684" s="328" t="s">
        <v>6677</v>
      </c>
      <c r="D684" s="263" t="s">
        <v>376</v>
      </c>
      <c r="E684" s="265" t="s">
        <v>377</v>
      </c>
      <c r="F684" s="262" t="s">
        <v>4316</v>
      </c>
      <c r="G684" s="247" t="s">
        <v>6694</v>
      </c>
      <c r="H684" s="316">
        <v>15516000</v>
      </c>
      <c r="I684" s="317">
        <v>2637720</v>
      </c>
      <c r="J684" s="527">
        <v>11602054</v>
      </c>
      <c r="K684" s="527">
        <v>1276225</v>
      </c>
      <c r="L684" s="336">
        <f t="shared" si="232"/>
        <v>12878279</v>
      </c>
      <c r="M684" s="316">
        <f t="shared" si="233"/>
        <v>12878280</v>
      </c>
    </row>
    <row r="685" spans="1:13" s="248" customFormat="1" x14ac:dyDescent="0.25">
      <c r="A685" s="264">
        <v>45218</v>
      </c>
      <c r="B685" s="433">
        <v>45216</v>
      </c>
      <c r="C685" s="328" t="s">
        <v>6678</v>
      </c>
      <c r="D685" s="263" t="s">
        <v>376</v>
      </c>
      <c r="E685" s="265" t="s">
        <v>377</v>
      </c>
      <c r="F685" s="262" t="s">
        <v>4316</v>
      </c>
      <c r="G685" s="247" t="s">
        <v>6695</v>
      </c>
      <c r="H685" s="316">
        <v>5130000</v>
      </c>
      <c r="I685" s="317">
        <v>872100.00000000012</v>
      </c>
      <c r="J685" s="527">
        <v>3835945</v>
      </c>
      <c r="K685" s="527">
        <v>421954</v>
      </c>
      <c r="L685" s="336">
        <f t="shared" si="232"/>
        <v>4257899</v>
      </c>
      <c r="M685" s="316">
        <f t="shared" si="233"/>
        <v>4257900</v>
      </c>
    </row>
    <row r="686" spans="1:13" s="248" customFormat="1" x14ac:dyDescent="0.25">
      <c r="A686" s="264">
        <v>45218</v>
      </c>
      <c r="B686" s="433">
        <v>45216</v>
      </c>
      <c r="C686" s="328" t="s">
        <v>6679</v>
      </c>
      <c r="D686" s="263" t="s">
        <v>376</v>
      </c>
      <c r="E686" s="265" t="s">
        <v>377</v>
      </c>
      <c r="F686" s="262" t="s">
        <v>4316</v>
      </c>
      <c r="G686" s="247" t="s">
        <v>6696</v>
      </c>
      <c r="H686" s="316">
        <v>4204800</v>
      </c>
      <c r="I686" s="317">
        <v>714816</v>
      </c>
      <c r="J686" s="527">
        <v>3144129</v>
      </c>
      <c r="K686" s="527">
        <v>345854</v>
      </c>
      <c r="L686" s="336">
        <f t="shared" si="232"/>
        <v>3489983</v>
      </c>
      <c r="M686" s="316">
        <f t="shared" si="233"/>
        <v>3489984</v>
      </c>
    </row>
    <row r="687" spans="1:13" s="248" customFormat="1" x14ac:dyDescent="0.25">
      <c r="A687" s="264">
        <v>45218</v>
      </c>
      <c r="B687" s="433">
        <v>45217</v>
      </c>
      <c r="C687" s="328" t="s">
        <v>6680</v>
      </c>
      <c r="D687" s="263" t="s">
        <v>376</v>
      </c>
      <c r="E687" s="265" t="s">
        <v>377</v>
      </c>
      <c r="F687" s="262" t="s">
        <v>4316</v>
      </c>
      <c r="G687" s="247" t="s">
        <v>6697</v>
      </c>
      <c r="H687" s="316">
        <v>49422000</v>
      </c>
      <c r="I687" s="317">
        <v>8401740</v>
      </c>
      <c r="J687" s="527">
        <v>36955189</v>
      </c>
      <c r="K687" s="527">
        <v>4065070</v>
      </c>
      <c r="L687" s="336">
        <f t="shared" si="232"/>
        <v>41020259</v>
      </c>
      <c r="M687" s="316">
        <f t="shared" si="233"/>
        <v>41020260</v>
      </c>
    </row>
    <row r="688" spans="1:13" s="248" customFormat="1" x14ac:dyDescent="0.25">
      <c r="A688" s="264">
        <v>45218</v>
      </c>
      <c r="B688" s="433">
        <v>45217</v>
      </c>
      <c r="C688" s="328" t="s">
        <v>6681</v>
      </c>
      <c r="D688" s="263" t="s">
        <v>376</v>
      </c>
      <c r="E688" s="265" t="s">
        <v>377</v>
      </c>
      <c r="F688" s="262" t="s">
        <v>4316</v>
      </c>
      <c r="G688" s="247" t="s">
        <v>6698</v>
      </c>
      <c r="H688" s="316">
        <v>16428000</v>
      </c>
      <c r="I688" s="317">
        <v>2792760</v>
      </c>
      <c r="J688" s="527">
        <v>12284000</v>
      </c>
      <c r="K688" s="527">
        <v>1351239</v>
      </c>
      <c r="L688" s="336">
        <f t="shared" si="232"/>
        <v>13635239</v>
      </c>
      <c r="M688" s="316">
        <f t="shared" si="233"/>
        <v>13635240</v>
      </c>
    </row>
    <row r="689" spans="1:13" s="248" customFormat="1" x14ac:dyDescent="0.25">
      <c r="A689" s="264">
        <v>45222</v>
      </c>
      <c r="B689" s="433">
        <v>45219</v>
      </c>
      <c r="C689" s="328" t="s">
        <v>6701</v>
      </c>
      <c r="D689" s="263" t="s">
        <v>376</v>
      </c>
      <c r="E689" s="265" t="s">
        <v>377</v>
      </c>
      <c r="F689" s="262" t="s">
        <v>4316</v>
      </c>
      <c r="G689" s="247" t="s">
        <v>6870</v>
      </c>
      <c r="H689" s="316">
        <v>14720400</v>
      </c>
      <c r="I689" s="317">
        <v>2502468</v>
      </c>
      <c r="J689" s="527">
        <v>11007145</v>
      </c>
      <c r="K689" s="527">
        <v>1210786</v>
      </c>
      <c r="L689" s="336">
        <f t="shared" ref="L689:L691" si="234">SUM(J689:K689)</f>
        <v>12217931</v>
      </c>
      <c r="M689" s="316">
        <f t="shared" ref="M689:M691" si="235">H689-I689</f>
        <v>12217932</v>
      </c>
    </row>
    <row r="690" spans="1:13" s="248" customFormat="1" x14ac:dyDescent="0.25">
      <c r="A690" s="264">
        <v>45222</v>
      </c>
      <c r="B690" s="433">
        <v>45220</v>
      </c>
      <c r="C690" s="328" t="s">
        <v>6702</v>
      </c>
      <c r="D690" s="263" t="s">
        <v>376</v>
      </c>
      <c r="E690" s="265" t="s">
        <v>377</v>
      </c>
      <c r="F690" s="262" t="s">
        <v>4316</v>
      </c>
      <c r="G690" s="247" t="s">
        <v>6871</v>
      </c>
      <c r="H690" s="316">
        <v>19752000</v>
      </c>
      <c r="I690" s="317">
        <v>3357840</v>
      </c>
      <c r="J690" s="527">
        <v>14769513</v>
      </c>
      <c r="K690" s="527">
        <v>1624646</v>
      </c>
      <c r="L690" s="336">
        <f t="shared" si="234"/>
        <v>16394159</v>
      </c>
      <c r="M690" s="316">
        <f t="shared" si="235"/>
        <v>16394160</v>
      </c>
    </row>
    <row r="691" spans="1:13" s="248" customFormat="1" x14ac:dyDescent="0.25">
      <c r="A691" s="264">
        <v>45222</v>
      </c>
      <c r="B691" s="433">
        <v>45220</v>
      </c>
      <c r="C691" s="328" t="s">
        <v>6703</v>
      </c>
      <c r="D691" s="263" t="s">
        <v>376</v>
      </c>
      <c r="E691" s="265" t="s">
        <v>377</v>
      </c>
      <c r="F691" s="262" t="s">
        <v>4316</v>
      </c>
      <c r="G691" s="247" t="s">
        <v>6872</v>
      </c>
      <c r="H691" s="316">
        <v>25891200</v>
      </c>
      <c r="I691" s="317">
        <v>4401504</v>
      </c>
      <c r="J691" s="527">
        <v>19360086</v>
      </c>
      <c r="K691" s="527">
        <v>2129609</v>
      </c>
      <c r="L691" s="336">
        <f t="shared" si="234"/>
        <v>21489695</v>
      </c>
      <c r="M691" s="316">
        <f t="shared" si="235"/>
        <v>21489696</v>
      </c>
    </row>
    <row r="692" spans="1:13" s="248" customFormat="1" x14ac:dyDescent="0.25">
      <c r="A692" s="264">
        <v>45225</v>
      </c>
      <c r="B692" s="433">
        <v>45223</v>
      </c>
      <c r="C692" s="328" t="s">
        <v>6714</v>
      </c>
      <c r="D692" s="263" t="s">
        <v>376</v>
      </c>
      <c r="E692" s="265" t="s">
        <v>377</v>
      </c>
      <c r="F692" s="262" t="s">
        <v>4316</v>
      </c>
      <c r="G692" s="247" t="s">
        <v>6873</v>
      </c>
      <c r="H692" s="316">
        <v>35107200</v>
      </c>
      <c r="I692" s="317">
        <v>5968224</v>
      </c>
      <c r="J692" s="527">
        <v>26251329</v>
      </c>
      <c r="K692" s="527">
        <v>2887646</v>
      </c>
      <c r="L692" s="336">
        <f t="shared" si="232"/>
        <v>29138975</v>
      </c>
      <c r="M692" s="316">
        <f t="shared" si="233"/>
        <v>29138976</v>
      </c>
    </row>
    <row r="693" spans="1:13" s="248" customFormat="1" x14ac:dyDescent="0.25">
      <c r="A693" s="264">
        <v>45227</v>
      </c>
      <c r="B693" s="433">
        <v>45224</v>
      </c>
      <c r="C693" s="328" t="s">
        <v>6727</v>
      </c>
      <c r="D693" s="263" t="s">
        <v>376</v>
      </c>
      <c r="E693" s="265" t="s">
        <v>377</v>
      </c>
      <c r="F693" s="262" t="s">
        <v>4316</v>
      </c>
      <c r="G693" s="247" t="s">
        <v>6874</v>
      </c>
      <c r="H693" s="316">
        <v>13536000</v>
      </c>
      <c r="I693" s="317">
        <v>2301120.0000000005</v>
      </c>
      <c r="J693" s="527">
        <v>10121513</v>
      </c>
      <c r="K693" s="527">
        <v>1113366</v>
      </c>
      <c r="L693" s="336">
        <f t="shared" ref="L693:L696" si="236">SUM(J693:K693)</f>
        <v>11234879</v>
      </c>
      <c r="M693" s="316">
        <f t="shared" ref="M693:M696" si="237">H693-I693</f>
        <v>11234880</v>
      </c>
    </row>
    <row r="694" spans="1:13" s="248" customFormat="1" x14ac:dyDescent="0.25">
      <c r="A694" s="264">
        <v>45229</v>
      </c>
      <c r="B694" s="433">
        <v>45225</v>
      </c>
      <c r="C694" s="328" t="s">
        <v>6728</v>
      </c>
      <c r="D694" s="263" t="s">
        <v>376</v>
      </c>
      <c r="E694" s="265" t="s">
        <v>377</v>
      </c>
      <c r="F694" s="262" t="s">
        <v>4316</v>
      </c>
      <c r="G694" s="247" t="s">
        <v>6875</v>
      </c>
      <c r="H694" s="316">
        <v>18657200</v>
      </c>
      <c r="I694" s="317">
        <v>3171724</v>
      </c>
      <c r="J694" s="527">
        <v>13950879</v>
      </c>
      <c r="K694" s="527">
        <v>1534596</v>
      </c>
      <c r="L694" s="336">
        <f t="shared" si="236"/>
        <v>15485475</v>
      </c>
      <c r="M694" s="316">
        <f t="shared" si="237"/>
        <v>15485476</v>
      </c>
    </row>
    <row r="695" spans="1:13" s="248" customFormat="1" x14ac:dyDescent="0.25">
      <c r="A695" s="264">
        <v>45229</v>
      </c>
      <c r="B695" s="433">
        <v>45226</v>
      </c>
      <c r="C695" s="328" t="s">
        <v>6729</v>
      </c>
      <c r="D695" s="263" t="s">
        <v>376</v>
      </c>
      <c r="E695" s="265" t="s">
        <v>377</v>
      </c>
      <c r="F695" s="262" t="s">
        <v>4316</v>
      </c>
      <c r="G695" s="247" t="s">
        <v>6876</v>
      </c>
      <c r="H695" s="316">
        <v>147700800</v>
      </c>
      <c r="I695" s="317">
        <v>28013472.000000004</v>
      </c>
      <c r="J695" s="527">
        <v>107826421</v>
      </c>
      <c r="K695" s="527">
        <v>11860906</v>
      </c>
      <c r="L695" s="336">
        <f t="shared" si="236"/>
        <v>119687327</v>
      </c>
      <c r="M695" s="316">
        <f t="shared" si="237"/>
        <v>119687328</v>
      </c>
    </row>
    <row r="696" spans="1:13" s="248" customFormat="1" x14ac:dyDescent="0.25">
      <c r="A696" s="264">
        <v>45229</v>
      </c>
      <c r="B696" s="433">
        <v>45227</v>
      </c>
      <c r="C696" s="328" t="s">
        <v>6730</v>
      </c>
      <c r="D696" s="263" t="s">
        <v>376</v>
      </c>
      <c r="E696" s="265" t="s">
        <v>377</v>
      </c>
      <c r="F696" s="262" t="s">
        <v>4316</v>
      </c>
      <c r="G696" s="247" t="s">
        <v>6877</v>
      </c>
      <c r="H696" s="316">
        <v>25833600</v>
      </c>
      <c r="I696" s="317">
        <v>4391712</v>
      </c>
      <c r="J696" s="527">
        <v>19317016</v>
      </c>
      <c r="K696" s="527">
        <v>2124871</v>
      </c>
      <c r="L696" s="336">
        <f t="shared" si="236"/>
        <v>21441887</v>
      </c>
      <c r="M696" s="316">
        <f t="shared" si="237"/>
        <v>21441888</v>
      </c>
    </row>
    <row r="697" spans="1:13" s="248" customFormat="1" x14ac:dyDescent="0.25">
      <c r="A697" s="264">
        <v>45231</v>
      </c>
      <c r="B697" s="433">
        <v>45230</v>
      </c>
      <c r="C697" s="328" t="s">
        <v>7043</v>
      </c>
      <c r="D697" s="263" t="s">
        <v>5558</v>
      </c>
      <c r="E697" s="265" t="s">
        <v>5559</v>
      </c>
      <c r="F697" s="262" t="s">
        <v>5560</v>
      </c>
      <c r="G697" s="247" t="s">
        <v>7027</v>
      </c>
      <c r="H697" s="316">
        <v>15916500</v>
      </c>
      <c r="I697" s="317">
        <v>0</v>
      </c>
      <c r="J697" s="527">
        <v>14339189</v>
      </c>
      <c r="K697" s="527">
        <v>1577311</v>
      </c>
      <c r="L697" s="336">
        <f t="shared" ref="L697" si="238">SUM(J697:K697)</f>
        <v>15916500</v>
      </c>
      <c r="M697" s="316">
        <f t="shared" ref="M697" si="239">H697-I697</f>
        <v>15916500</v>
      </c>
    </row>
    <row r="698" spans="1:13" ht="18" x14ac:dyDescent="0.25">
      <c r="A698" s="435" t="s">
        <v>38</v>
      </c>
      <c r="B698" s="434"/>
      <c r="C698" s="437"/>
      <c r="D698" s="436"/>
      <c r="E698" s="441"/>
      <c r="F698" s="441"/>
      <c r="G698" s="438"/>
      <c r="H698" s="336">
        <f>SUM(H636:H697)</f>
        <v>1325029273.5</v>
      </c>
      <c r="I698" s="335"/>
      <c r="J698" s="528">
        <f>SUM(J636:J697)</f>
        <v>1051143434.3243244</v>
      </c>
      <c r="K698" s="528">
        <f>SUM(K636:K697)</f>
        <v>115625752.67567568</v>
      </c>
      <c r="L698" s="337">
        <f>SUM(L636:L697)</f>
        <v>1166769187</v>
      </c>
      <c r="M698" s="337">
        <f>SUM(M636:M697)</f>
        <v>1166770163.5</v>
      </c>
    </row>
    <row r="699" spans="1:13" ht="18" x14ac:dyDescent="0.25">
      <c r="A699" s="432" t="s">
        <v>108</v>
      </c>
      <c r="B699" s="432"/>
      <c r="C699" s="344"/>
      <c r="D699" s="343"/>
      <c r="E699" s="440"/>
      <c r="F699" s="440"/>
      <c r="G699" s="343"/>
      <c r="H699" s="345"/>
      <c r="I699" s="345"/>
      <c r="J699" s="526"/>
      <c r="K699" s="526"/>
      <c r="L699" s="612"/>
      <c r="M699" s="346"/>
    </row>
    <row r="700" spans="1:13" s="248" customFormat="1" x14ac:dyDescent="0.25">
      <c r="A700" s="264">
        <v>45246</v>
      </c>
      <c r="B700" s="433">
        <v>45243</v>
      </c>
      <c r="C700" s="328" t="s">
        <v>7156</v>
      </c>
      <c r="D700" s="263" t="s">
        <v>298</v>
      </c>
      <c r="E700" s="265" t="s">
        <v>374</v>
      </c>
      <c r="F700" s="262" t="s">
        <v>375</v>
      </c>
      <c r="G700" s="247" t="s">
        <v>7350</v>
      </c>
      <c r="H700" s="316">
        <v>9468000</v>
      </c>
      <c r="I700" s="317">
        <v>0</v>
      </c>
      <c r="J700" s="527">
        <v>8529624</v>
      </c>
      <c r="K700" s="527">
        <v>938258</v>
      </c>
      <c r="L700" s="336">
        <f>SUM(J700:K700)</f>
        <v>9467882</v>
      </c>
      <c r="M700" s="316">
        <f>H700-I700</f>
        <v>9468000</v>
      </c>
    </row>
    <row r="701" spans="1:13" s="248" customFormat="1" x14ac:dyDescent="0.25">
      <c r="A701" s="264">
        <v>45261</v>
      </c>
      <c r="B701" s="433">
        <v>45257</v>
      </c>
      <c r="C701" s="328" t="s">
        <v>7426</v>
      </c>
      <c r="D701" s="263" t="s">
        <v>298</v>
      </c>
      <c r="E701" s="265" t="s">
        <v>374</v>
      </c>
      <c r="F701" s="262" t="s">
        <v>375</v>
      </c>
      <c r="G701" s="247" t="s">
        <v>7351</v>
      </c>
      <c r="H701" s="316">
        <v>3024000</v>
      </c>
      <c r="I701" s="317">
        <v>0</v>
      </c>
      <c r="J701" s="527">
        <v>2724288</v>
      </c>
      <c r="K701" s="527">
        <v>299671</v>
      </c>
      <c r="L701" s="336">
        <f>SUM(J701:K701)</f>
        <v>3023959</v>
      </c>
      <c r="M701" s="316">
        <f>H701-I701</f>
        <v>3024000</v>
      </c>
    </row>
    <row r="702" spans="1:13" s="248" customFormat="1" x14ac:dyDescent="0.25">
      <c r="A702" s="264">
        <v>45234</v>
      </c>
      <c r="B702" s="433">
        <v>45231</v>
      </c>
      <c r="C702" s="328" t="s">
        <v>7258</v>
      </c>
      <c r="D702" s="524" t="s">
        <v>297</v>
      </c>
      <c r="E702" s="523" t="s">
        <v>369</v>
      </c>
      <c r="F702" s="262" t="s">
        <v>395</v>
      </c>
      <c r="G702" s="247" t="s">
        <v>7257</v>
      </c>
      <c r="H702" s="316">
        <v>932662.5</v>
      </c>
      <c r="I702" s="317">
        <v>0</v>
      </c>
      <c r="J702" s="527">
        <v>840236</v>
      </c>
      <c r="K702" s="527">
        <v>92426</v>
      </c>
      <c r="L702" s="336">
        <f t="shared" ref="L702" si="240">SUM(J702:K702)</f>
        <v>932662</v>
      </c>
      <c r="M702" s="316">
        <f t="shared" ref="M702" si="241">H702-I702</f>
        <v>932662.5</v>
      </c>
    </row>
    <row r="703" spans="1:13" s="248" customFormat="1" x14ac:dyDescent="0.25">
      <c r="A703" s="264">
        <v>45234</v>
      </c>
      <c r="B703" s="433">
        <v>45231</v>
      </c>
      <c r="C703" s="328" t="s">
        <v>7260</v>
      </c>
      <c r="D703" s="524" t="s">
        <v>297</v>
      </c>
      <c r="E703" s="523" t="s">
        <v>369</v>
      </c>
      <c r="F703" s="262" t="s">
        <v>395</v>
      </c>
      <c r="G703" s="247" t="s">
        <v>7259</v>
      </c>
      <c r="H703" s="316">
        <v>4291245</v>
      </c>
      <c r="I703" s="317">
        <v>0</v>
      </c>
      <c r="J703" s="527">
        <v>3865986</v>
      </c>
      <c r="K703" s="527">
        <v>425258</v>
      </c>
      <c r="L703" s="336">
        <f t="shared" ref="L703:L761" si="242">SUM(J703:K703)</f>
        <v>4291244</v>
      </c>
      <c r="M703" s="316">
        <f t="shared" ref="M703:M761" si="243">H703-I703</f>
        <v>4291245</v>
      </c>
    </row>
    <row r="704" spans="1:13" s="248" customFormat="1" x14ac:dyDescent="0.25">
      <c r="A704" s="264">
        <v>45238</v>
      </c>
      <c r="B704" s="433">
        <v>45232</v>
      </c>
      <c r="C704" s="328" t="s">
        <v>7157</v>
      </c>
      <c r="D704" s="524" t="s">
        <v>297</v>
      </c>
      <c r="E704" s="523" t="s">
        <v>369</v>
      </c>
      <c r="F704" s="262" t="s">
        <v>395</v>
      </c>
      <c r="G704" s="247" t="s">
        <v>7261</v>
      </c>
      <c r="H704" s="316">
        <v>19258067.5</v>
      </c>
      <c r="I704" s="317">
        <v>0</v>
      </c>
      <c r="J704" s="527">
        <v>17349610</v>
      </c>
      <c r="K704" s="527">
        <v>1908457</v>
      </c>
      <c r="L704" s="336">
        <f t="shared" ref="L704:L726" si="244">SUM(J704:K704)</f>
        <v>19258067</v>
      </c>
      <c r="M704" s="316">
        <f t="shared" ref="M704:M726" si="245">H704-I704</f>
        <v>19258067.5</v>
      </c>
    </row>
    <row r="705" spans="1:13" s="248" customFormat="1" x14ac:dyDescent="0.25">
      <c r="A705" s="264">
        <v>45236</v>
      </c>
      <c r="B705" s="433">
        <v>45233</v>
      </c>
      <c r="C705" s="328" t="s">
        <v>7158</v>
      </c>
      <c r="D705" s="524" t="s">
        <v>297</v>
      </c>
      <c r="E705" s="523" t="s">
        <v>369</v>
      </c>
      <c r="F705" s="262" t="s">
        <v>395</v>
      </c>
      <c r="G705" s="247" t="s">
        <v>7262</v>
      </c>
      <c r="H705" s="316">
        <v>12947799.375</v>
      </c>
      <c r="I705" s="317">
        <v>2527336</v>
      </c>
      <c r="J705" s="527">
        <v>9387804</v>
      </c>
      <c r="K705" s="527">
        <v>1032658</v>
      </c>
      <c r="L705" s="336">
        <f t="shared" si="244"/>
        <v>10420462</v>
      </c>
      <c r="M705" s="316">
        <f t="shared" si="245"/>
        <v>10420463.375</v>
      </c>
    </row>
    <row r="706" spans="1:13" s="248" customFormat="1" x14ac:dyDescent="0.25">
      <c r="A706" s="264">
        <v>45240</v>
      </c>
      <c r="B706" s="433">
        <v>45237</v>
      </c>
      <c r="C706" s="328" t="s">
        <v>7159</v>
      </c>
      <c r="D706" s="524" t="s">
        <v>297</v>
      </c>
      <c r="E706" s="523" t="s">
        <v>369</v>
      </c>
      <c r="F706" s="262" t="s">
        <v>395</v>
      </c>
      <c r="G706" s="247" t="s">
        <v>7263</v>
      </c>
      <c r="H706" s="316">
        <v>9710995</v>
      </c>
      <c r="I706" s="317">
        <v>0</v>
      </c>
      <c r="J706" s="527">
        <v>8748644</v>
      </c>
      <c r="K706" s="527">
        <v>962350</v>
      </c>
      <c r="L706" s="336">
        <f t="shared" si="244"/>
        <v>9710994</v>
      </c>
      <c r="M706" s="316">
        <f t="shared" si="245"/>
        <v>9710995</v>
      </c>
    </row>
    <row r="707" spans="1:13" s="248" customFormat="1" x14ac:dyDescent="0.25">
      <c r="A707" s="264">
        <v>45238</v>
      </c>
      <c r="B707" s="433">
        <v>45234</v>
      </c>
      <c r="C707" s="328" t="s">
        <v>7160</v>
      </c>
      <c r="D707" s="524" t="s">
        <v>297</v>
      </c>
      <c r="E707" s="523" t="s">
        <v>369</v>
      </c>
      <c r="F707" s="262" t="s">
        <v>395</v>
      </c>
      <c r="G707" s="247" t="s">
        <v>7274</v>
      </c>
      <c r="H707" s="316">
        <v>10991120</v>
      </c>
      <c r="I707" s="317">
        <v>0</v>
      </c>
      <c r="J707" s="527">
        <v>9901909</v>
      </c>
      <c r="K707" s="527">
        <v>1089210</v>
      </c>
      <c r="L707" s="336">
        <f t="shared" si="244"/>
        <v>10991119</v>
      </c>
      <c r="M707" s="316">
        <f t="shared" si="245"/>
        <v>10991120</v>
      </c>
    </row>
    <row r="708" spans="1:13" s="248" customFormat="1" x14ac:dyDescent="0.25">
      <c r="A708" s="264">
        <v>45243</v>
      </c>
      <c r="B708" s="433">
        <v>45238</v>
      </c>
      <c r="C708" s="328" t="s">
        <v>7161</v>
      </c>
      <c r="D708" s="524" t="s">
        <v>297</v>
      </c>
      <c r="E708" s="523" t="s">
        <v>369</v>
      </c>
      <c r="F708" s="262" t="s">
        <v>395</v>
      </c>
      <c r="G708" s="247" t="s">
        <v>7264</v>
      </c>
      <c r="H708" s="316">
        <v>10322462.5</v>
      </c>
      <c r="I708" s="317">
        <v>0</v>
      </c>
      <c r="J708" s="527">
        <v>9299515</v>
      </c>
      <c r="K708" s="527">
        <v>1022946</v>
      </c>
      <c r="L708" s="336">
        <f t="shared" si="244"/>
        <v>10322461</v>
      </c>
      <c r="M708" s="316">
        <f t="shared" si="245"/>
        <v>10322462.5</v>
      </c>
    </row>
    <row r="709" spans="1:13" s="248" customFormat="1" x14ac:dyDescent="0.25">
      <c r="A709" s="264">
        <v>45243</v>
      </c>
      <c r="B709" s="433">
        <v>45239</v>
      </c>
      <c r="C709" s="328" t="s">
        <v>7162</v>
      </c>
      <c r="D709" s="524" t="s">
        <v>297</v>
      </c>
      <c r="E709" s="523" t="s">
        <v>369</v>
      </c>
      <c r="F709" s="262" t="s">
        <v>395</v>
      </c>
      <c r="G709" s="247" t="s">
        <v>7265</v>
      </c>
      <c r="H709" s="316">
        <v>9032695</v>
      </c>
      <c r="I709" s="317">
        <v>0</v>
      </c>
      <c r="J709" s="527">
        <v>8137563</v>
      </c>
      <c r="K709" s="527">
        <v>895131</v>
      </c>
      <c r="L709" s="336">
        <f t="shared" si="244"/>
        <v>9032694</v>
      </c>
      <c r="M709" s="316">
        <f t="shared" si="245"/>
        <v>9032695</v>
      </c>
    </row>
    <row r="710" spans="1:13" s="248" customFormat="1" x14ac:dyDescent="0.25">
      <c r="A710" s="264">
        <v>45245</v>
      </c>
      <c r="B710" s="433">
        <v>45240</v>
      </c>
      <c r="C710" s="328" t="s">
        <v>7163</v>
      </c>
      <c r="D710" s="524" t="s">
        <v>297</v>
      </c>
      <c r="E710" s="523" t="s">
        <v>369</v>
      </c>
      <c r="F710" s="262" t="s">
        <v>395</v>
      </c>
      <c r="G710" s="247" t="s">
        <v>7266</v>
      </c>
      <c r="H710" s="316">
        <v>24031342.5</v>
      </c>
      <c r="I710" s="317">
        <v>235980</v>
      </c>
      <c r="J710" s="527">
        <v>21437263</v>
      </c>
      <c r="K710" s="527">
        <v>2358098</v>
      </c>
      <c r="L710" s="336">
        <f t="shared" si="244"/>
        <v>23795361</v>
      </c>
      <c r="M710" s="316">
        <f t="shared" si="245"/>
        <v>23795362.5</v>
      </c>
    </row>
    <row r="711" spans="1:13" s="248" customFormat="1" x14ac:dyDescent="0.25">
      <c r="A711" s="264">
        <v>45245</v>
      </c>
      <c r="B711" s="433">
        <v>45241</v>
      </c>
      <c r="C711" s="328" t="s">
        <v>7164</v>
      </c>
      <c r="D711" s="524" t="s">
        <v>297</v>
      </c>
      <c r="E711" s="523" t="s">
        <v>369</v>
      </c>
      <c r="F711" s="262" t="s">
        <v>395</v>
      </c>
      <c r="G711" s="247" t="s">
        <v>7267</v>
      </c>
      <c r="H711" s="316">
        <v>36895862.5</v>
      </c>
      <c r="I711" s="317">
        <v>0</v>
      </c>
      <c r="J711" s="527">
        <v>33239515</v>
      </c>
      <c r="K711" s="527">
        <v>3656346</v>
      </c>
      <c r="L711" s="336">
        <f t="shared" si="244"/>
        <v>36895861</v>
      </c>
      <c r="M711" s="316">
        <f t="shared" si="245"/>
        <v>36895862.5</v>
      </c>
    </row>
    <row r="712" spans="1:13" s="248" customFormat="1" x14ac:dyDescent="0.25">
      <c r="A712" s="264">
        <v>45245</v>
      </c>
      <c r="B712" s="433">
        <v>45241</v>
      </c>
      <c r="C712" s="328" t="s">
        <v>7165</v>
      </c>
      <c r="D712" s="524" t="s">
        <v>297</v>
      </c>
      <c r="E712" s="523" t="s">
        <v>369</v>
      </c>
      <c r="F712" s="262" t="s">
        <v>395</v>
      </c>
      <c r="G712" s="247" t="s">
        <v>7268</v>
      </c>
      <c r="H712" s="316">
        <v>26219620</v>
      </c>
      <c r="I712" s="317">
        <v>0</v>
      </c>
      <c r="J712" s="527">
        <v>23621279</v>
      </c>
      <c r="K712" s="527">
        <v>2598340</v>
      </c>
      <c r="L712" s="336">
        <f t="shared" si="244"/>
        <v>26219619</v>
      </c>
      <c r="M712" s="316">
        <f t="shared" si="245"/>
        <v>26219620</v>
      </c>
    </row>
    <row r="713" spans="1:13" s="248" customFormat="1" x14ac:dyDescent="0.25">
      <c r="A713" s="264">
        <v>45245</v>
      </c>
      <c r="B713" s="433">
        <v>45241</v>
      </c>
      <c r="C713" s="328" t="s">
        <v>7166</v>
      </c>
      <c r="D713" s="524" t="s">
        <v>297</v>
      </c>
      <c r="E713" s="523" t="s">
        <v>369</v>
      </c>
      <c r="F713" s="262" t="s">
        <v>395</v>
      </c>
      <c r="G713" s="247" t="s">
        <v>7269</v>
      </c>
      <c r="H713" s="316">
        <v>7956145.5</v>
      </c>
      <c r="I713" s="317">
        <v>182628</v>
      </c>
      <c r="J713" s="527">
        <v>7003168</v>
      </c>
      <c r="K713" s="527">
        <v>770348</v>
      </c>
      <c r="L713" s="336">
        <f t="shared" si="244"/>
        <v>7773516</v>
      </c>
      <c r="M713" s="316">
        <f t="shared" si="245"/>
        <v>7773517.5</v>
      </c>
    </row>
    <row r="714" spans="1:13" s="248" customFormat="1" x14ac:dyDescent="0.25">
      <c r="A714" s="264">
        <v>45247</v>
      </c>
      <c r="B714" s="433">
        <v>45244</v>
      </c>
      <c r="C714" s="328" t="s">
        <v>7167</v>
      </c>
      <c r="D714" s="524" t="s">
        <v>297</v>
      </c>
      <c r="E714" s="523" t="s">
        <v>369</v>
      </c>
      <c r="F714" s="262" t="s">
        <v>395</v>
      </c>
      <c r="G714" s="247" t="s">
        <v>7270</v>
      </c>
      <c r="H714" s="316">
        <v>23403345</v>
      </c>
      <c r="I714" s="317">
        <v>596505</v>
      </c>
      <c r="J714" s="527">
        <v>20546702</v>
      </c>
      <c r="K714" s="527">
        <v>2260137</v>
      </c>
      <c r="L714" s="336">
        <f t="shared" si="244"/>
        <v>22806839</v>
      </c>
      <c r="M714" s="316">
        <f t="shared" si="245"/>
        <v>22806840</v>
      </c>
    </row>
    <row r="715" spans="1:13" s="248" customFormat="1" x14ac:dyDescent="0.25">
      <c r="A715" s="264">
        <v>45247</v>
      </c>
      <c r="B715" s="433">
        <v>45244</v>
      </c>
      <c r="C715" s="328" t="s">
        <v>7168</v>
      </c>
      <c r="D715" s="524" t="s">
        <v>297</v>
      </c>
      <c r="E715" s="523" t="s">
        <v>369</v>
      </c>
      <c r="F715" s="262" t="s">
        <v>395</v>
      </c>
      <c r="G715" s="247" t="s">
        <v>7271</v>
      </c>
      <c r="H715" s="316">
        <v>16566442</v>
      </c>
      <c r="I715" s="317">
        <v>94392</v>
      </c>
      <c r="J715" s="527">
        <v>14839684</v>
      </c>
      <c r="K715" s="527">
        <v>1632365</v>
      </c>
      <c r="L715" s="336">
        <f t="shared" si="244"/>
        <v>16472049</v>
      </c>
      <c r="M715" s="316">
        <f t="shared" si="245"/>
        <v>16472050</v>
      </c>
    </row>
    <row r="716" spans="1:13" s="248" customFormat="1" x14ac:dyDescent="0.25">
      <c r="A716" s="264">
        <v>45247</v>
      </c>
      <c r="B716" s="433">
        <v>45244</v>
      </c>
      <c r="C716" s="328" t="s">
        <v>7169</v>
      </c>
      <c r="D716" s="524" t="s">
        <v>297</v>
      </c>
      <c r="E716" s="523" t="s">
        <v>369</v>
      </c>
      <c r="F716" s="262" t="s">
        <v>395</v>
      </c>
      <c r="G716" s="247" t="s">
        <v>7272</v>
      </c>
      <c r="H716" s="316">
        <v>24613977.5</v>
      </c>
      <c r="I716" s="317">
        <v>0</v>
      </c>
      <c r="J716" s="527">
        <v>22174754</v>
      </c>
      <c r="K716" s="527">
        <v>2439222</v>
      </c>
      <c r="L716" s="336">
        <f t="shared" si="244"/>
        <v>24613976</v>
      </c>
      <c r="M716" s="316">
        <f t="shared" si="245"/>
        <v>24613977.5</v>
      </c>
    </row>
    <row r="717" spans="1:13" s="248" customFormat="1" x14ac:dyDescent="0.25">
      <c r="A717" s="264">
        <v>45247</v>
      </c>
      <c r="B717" s="433">
        <v>45244</v>
      </c>
      <c r="C717" s="328" t="s">
        <v>7170</v>
      </c>
      <c r="D717" s="524" t="s">
        <v>297</v>
      </c>
      <c r="E717" s="523" t="s">
        <v>369</v>
      </c>
      <c r="F717" s="262" t="s">
        <v>395</v>
      </c>
      <c r="G717" s="247" t="s">
        <v>7273</v>
      </c>
      <c r="H717" s="316">
        <v>1987020</v>
      </c>
      <c r="I717" s="317">
        <v>0</v>
      </c>
      <c r="J717" s="527">
        <v>1790108</v>
      </c>
      <c r="K717" s="527">
        <v>196911</v>
      </c>
      <c r="L717" s="336">
        <f t="shared" si="244"/>
        <v>1987019</v>
      </c>
      <c r="M717" s="316">
        <f t="shared" si="245"/>
        <v>1987020</v>
      </c>
    </row>
    <row r="718" spans="1:13" s="248" customFormat="1" x14ac:dyDescent="0.25">
      <c r="A718" s="264">
        <v>45248</v>
      </c>
      <c r="B718" s="433">
        <v>45246</v>
      </c>
      <c r="C718" s="328" t="s">
        <v>7171</v>
      </c>
      <c r="D718" s="524" t="s">
        <v>297</v>
      </c>
      <c r="E718" s="523" t="s">
        <v>369</v>
      </c>
      <c r="F718" s="262" t="s">
        <v>395</v>
      </c>
      <c r="G718" s="247" t="s">
        <v>7448</v>
      </c>
      <c r="H718" s="316">
        <v>7193970</v>
      </c>
      <c r="I718" s="317">
        <v>0</v>
      </c>
      <c r="J718" s="527">
        <v>6481054</v>
      </c>
      <c r="K718" s="527">
        <v>712915</v>
      </c>
      <c r="L718" s="336">
        <f t="shared" si="244"/>
        <v>7193969</v>
      </c>
      <c r="M718" s="316">
        <f t="shared" si="245"/>
        <v>7193970</v>
      </c>
    </row>
    <row r="719" spans="1:13" s="248" customFormat="1" x14ac:dyDescent="0.25">
      <c r="A719" s="264">
        <v>45248</v>
      </c>
      <c r="B719" s="433">
        <v>45246</v>
      </c>
      <c r="C719" s="328" t="s">
        <v>7172</v>
      </c>
      <c r="D719" s="524" t="s">
        <v>297</v>
      </c>
      <c r="E719" s="523" t="s">
        <v>369</v>
      </c>
      <c r="F719" s="262" t="s">
        <v>395</v>
      </c>
      <c r="G719" s="247" t="s">
        <v>7449</v>
      </c>
      <c r="H719" s="316">
        <v>33296863.5</v>
      </c>
      <c r="I719" s="317">
        <v>406296</v>
      </c>
      <c r="J719" s="527">
        <v>29631141</v>
      </c>
      <c r="K719" s="527">
        <v>3259425</v>
      </c>
      <c r="L719" s="336">
        <f t="shared" si="244"/>
        <v>32890566</v>
      </c>
      <c r="M719" s="316">
        <f t="shared" si="245"/>
        <v>32890567.5</v>
      </c>
    </row>
    <row r="720" spans="1:13" s="248" customFormat="1" x14ac:dyDescent="0.25">
      <c r="A720" s="264">
        <v>45248</v>
      </c>
      <c r="B720" s="433">
        <v>45246</v>
      </c>
      <c r="C720" s="328" t="s">
        <v>7173</v>
      </c>
      <c r="D720" s="524" t="s">
        <v>297</v>
      </c>
      <c r="E720" s="523" t="s">
        <v>369</v>
      </c>
      <c r="F720" s="262" t="s">
        <v>395</v>
      </c>
      <c r="G720" s="247" t="s">
        <v>7450</v>
      </c>
      <c r="H720" s="316">
        <v>2103062.5</v>
      </c>
      <c r="I720" s="317">
        <v>0</v>
      </c>
      <c r="J720" s="527">
        <v>1894650</v>
      </c>
      <c r="K720" s="527">
        <v>208411</v>
      </c>
      <c r="L720" s="336">
        <f t="shared" si="244"/>
        <v>2103061</v>
      </c>
      <c r="M720" s="316">
        <f t="shared" si="245"/>
        <v>2103062.5</v>
      </c>
    </row>
    <row r="721" spans="1:13" s="248" customFormat="1" x14ac:dyDescent="0.25">
      <c r="A721" s="264">
        <v>45248</v>
      </c>
      <c r="B721" s="433">
        <v>45246</v>
      </c>
      <c r="C721" s="328" t="s">
        <v>7174</v>
      </c>
      <c r="D721" s="524" t="s">
        <v>297</v>
      </c>
      <c r="E721" s="523" t="s">
        <v>369</v>
      </c>
      <c r="F721" s="262" t="s">
        <v>395</v>
      </c>
      <c r="G721" s="247" t="s">
        <v>7451</v>
      </c>
      <c r="H721" s="316">
        <v>8145357</v>
      </c>
      <c r="I721" s="317">
        <v>135432</v>
      </c>
      <c r="J721" s="527">
        <v>7216148</v>
      </c>
      <c r="K721" s="527">
        <v>793776</v>
      </c>
      <c r="L721" s="336">
        <f t="shared" si="244"/>
        <v>8009924</v>
      </c>
      <c r="M721" s="316">
        <f t="shared" si="245"/>
        <v>8009925</v>
      </c>
    </row>
    <row r="722" spans="1:13" s="248" customFormat="1" x14ac:dyDescent="0.25">
      <c r="A722" s="264">
        <v>45253</v>
      </c>
      <c r="B722" s="433">
        <v>45250</v>
      </c>
      <c r="C722" s="328" t="s">
        <v>7175</v>
      </c>
      <c r="D722" s="524" t="s">
        <v>297</v>
      </c>
      <c r="E722" s="523" t="s">
        <v>369</v>
      </c>
      <c r="F722" s="262" t="s">
        <v>395</v>
      </c>
      <c r="G722" s="247" t="s">
        <v>7452</v>
      </c>
      <c r="H722" s="316">
        <v>4319175</v>
      </c>
      <c r="I722" s="317">
        <v>0</v>
      </c>
      <c r="J722" s="527">
        <v>3891148</v>
      </c>
      <c r="K722" s="527">
        <v>428026</v>
      </c>
      <c r="L722" s="336">
        <f t="shared" si="244"/>
        <v>4319174</v>
      </c>
      <c r="M722" s="316">
        <f t="shared" si="245"/>
        <v>4319175</v>
      </c>
    </row>
    <row r="723" spans="1:13" s="248" customFormat="1" x14ac:dyDescent="0.25">
      <c r="A723" s="264">
        <v>45253</v>
      </c>
      <c r="B723" s="433">
        <v>45251</v>
      </c>
      <c r="C723" s="328" t="s">
        <v>7176</v>
      </c>
      <c r="D723" s="524" t="s">
        <v>297</v>
      </c>
      <c r="E723" s="523" t="s">
        <v>369</v>
      </c>
      <c r="F723" s="262" t="s">
        <v>395</v>
      </c>
      <c r="G723" s="247" t="s">
        <v>7453</v>
      </c>
      <c r="H723" s="316">
        <v>14982450</v>
      </c>
      <c r="I723" s="317">
        <v>0</v>
      </c>
      <c r="J723" s="527">
        <v>13497702</v>
      </c>
      <c r="K723" s="527">
        <v>1484747</v>
      </c>
      <c r="L723" s="336">
        <f t="shared" si="244"/>
        <v>14982449</v>
      </c>
      <c r="M723" s="316">
        <f t="shared" si="245"/>
        <v>14982450</v>
      </c>
    </row>
    <row r="724" spans="1:13" s="248" customFormat="1" x14ac:dyDescent="0.25">
      <c r="A724" s="264">
        <v>45255</v>
      </c>
      <c r="B724" s="433">
        <v>45253</v>
      </c>
      <c r="C724" s="328" t="s">
        <v>7177</v>
      </c>
      <c r="D724" s="524" t="s">
        <v>297</v>
      </c>
      <c r="E724" s="523" t="s">
        <v>369</v>
      </c>
      <c r="F724" s="262" t="s">
        <v>395</v>
      </c>
      <c r="G724" s="247" t="s">
        <v>7454</v>
      </c>
      <c r="H724" s="316">
        <v>3303720</v>
      </c>
      <c r="I724" s="317">
        <v>0</v>
      </c>
      <c r="J724" s="527">
        <v>2976324</v>
      </c>
      <c r="K724" s="527">
        <v>327395</v>
      </c>
      <c r="L724" s="336">
        <f t="shared" si="244"/>
        <v>3303719</v>
      </c>
      <c r="M724" s="316">
        <f t="shared" si="245"/>
        <v>3303720</v>
      </c>
    </row>
    <row r="725" spans="1:13" s="248" customFormat="1" x14ac:dyDescent="0.25">
      <c r="A725" s="264">
        <v>45255</v>
      </c>
      <c r="B725" s="433">
        <v>45253</v>
      </c>
      <c r="C725" s="328" t="s">
        <v>7178</v>
      </c>
      <c r="D725" s="524" t="s">
        <v>297</v>
      </c>
      <c r="E725" s="523" t="s">
        <v>369</v>
      </c>
      <c r="F725" s="262" t="s">
        <v>395</v>
      </c>
      <c r="G725" s="247" t="s">
        <v>7455</v>
      </c>
      <c r="H725" s="316">
        <v>1556100</v>
      </c>
      <c r="I725" s="317">
        <v>0</v>
      </c>
      <c r="J725" s="527">
        <v>1401891</v>
      </c>
      <c r="K725" s="527">
        <v>154208</v>
      </c>
      <c r="L725" s="336">
        <f t="shared" si="244"/>
        <v>1556099</v>
      </c>
      <c r="M725" s="316">
        <f t="shared" si="245"/>
        <v>1556100</v>
      </c>
    </row>
    <row r="726" spans="1:13" s="248" customFormat="1" x14ac:dyDescent="0.25">
      <c r="A726" s="264">
        <v>45255</v>
      </c>
      <c r="B726" s="433">
        <v>45253</v>
      </c>
      <c r="C726" s="328" t="s">
        <v>7179</v>
      </c>
      <c r="D726" s="524" t="s">
        <v>297</v>
      </c>
      <c r="E726" s="523" t="s">
        <v>369</v>
      </c>
      <c r="F726" s="262" t="s">
        <v>395</v>
      </c>
      <c r="G726" s="247" t="s">
        <v>7456</v>
      </c>
      <c r="H726" s="316">
        <v>3375540</v>
      </c>
      <c r="I726" s="317">
        <v>0</v>
      </c>
      <c r="J726" s="527">
        <v>3041027</v>
      </c>
      <c r="K726" s="527">
        <v>334512</v>
      </c>
      <c r="L726" s="336">
        <f t="shared" si="244"/>
        <v>3375539</v>
      </c>
      <c r="M726" s="316">
        <f t="shared" si="245"/>
        <v>3375540</v>
      </c>
    </row>
    <row r="727" spans="1:13" s="248" customFormat="1" x14ac:dyDescent="0.25">
      <c r="A727" s="264">
        <v>45258</v>
      </c>
      <c r="B727" s="433">
        <v>45254</v>
      </c>
      <c r="C727" s="328" t="s">
        <v>7417</v>
      </c>
      <c r="D727" s="524" t="s">
        <v>297</v>
      </c>
      <c r="E727" s="523" t="s">
        <v>369</v>
      </c>
      <c r="F727" s="262" t="s">
        <v>395</v>
      </c>
      <c r="G727" s="247" t="s">
        <v>7457</v>
      </c>
      <c r="H727" s="316">
        <v>25735500</v>
      </c>
      <c r="I727" s="317">
        <v>0</v>
      </c>
      <c r="J727" s="527">
        <v>23185135</v>
      </c>
      <c r="K727" s="527">
        <v>2550364</v>
      </c>
      <c r="L727" s="336">
        <f t="shared" ref="L727:L733" si="246">SUM(J727:K727)</f>
        <v>25735499</v>
      </c>
      <c r="M727" s="316">
        <f t="shared" ref="M727:M733" si="247">H727-I727</f>
        <v>25735500</v>
      </c>
    </row>
    <row r="728" spans="1:13" s="248" customFormat="1" x14ac:dyDescent="0.25">
      <c r="A728" s="264">
        <v>45258</v>
      </c>
      <c r="B728" s="433">
        <v>45255</v>
      </c>
      <c r="C728" s="328" t="s">
        <v>7418</v>
      </c>
      <c r="D728" s="524" t="s">
        <v>297</v>
      </c>
      <c r="E728" s="523" t="s">
        <v>369</v>
      </c>
      <c r="F728" s="262" t="s">
        <v>395</v>
      </c>
      <c r="G728" s="247" t="s">
        <v>7458</v>
      </c>
      <c r="H728" s="316">
        <v>18135694.75</v>
      </c>
      <c r="I728" s="317">
        <v>47196</v>
      </c>
      <c r="J728" s="527">
        <v>16295944</v>
      </c>
      <c r="K728" s="527">
        <v>1792553</v>
      </c>
      <c r="L728" s="336">
        <f t="shared" si="246"/>
        <v>18088497</v>
      </c>
      <c r="M728" s="316">
        <f t="shared" si="247"/>
        <v>18088498.75</v>
      </c>
    </row>
    <row r="729" spans="1:13" s="248" customFormat="1" x14ac:dyDescent="0.25">
      <c r="A729" s="264">
        <v>45258</v>
      </c>
      <c r="B729" s="433">
        <v>45255</v>
      </c>
      <c r="C729" s="328" t="s">
        <v>7419</v>
      </c>
      <c r="D729" s="524" t="s">
        <v>297</v>
      </c>
      <c r="E729" s="523" t="s">
        <v>369</v>
      </c>
      <c r="F729" s="262" t="s">
        <v>395</v>
      </c>
      <c r="G729" s="247" t="s">
        <v>7459</v>
      </c>
      <c r="H729" s="316">
        <v>4883760</v>
      </c>
      <c r="I729" s="317">
        <v>0</v>
      </c>
      <c r="J729" s="527">
        <v>4399783</v>
      </c>
      <c r="K729" s="527">
        <v>483976</v>
      </c>
      <c r="L729" s="336">
        <f t="shared" si="246"/>
        <v>4883759</v>
      </c>
      <c r="M729" s="316">
        <f t="shared" si="247"/>
        <v>4883760</v>
      </c>
    </row>
    <row r="730" spans="1:13" s="248" customFormat="1" x14ac:dyDescent="0.25">
      <c r="A730" s="264">
        <v>45260</v>
      </c>
      <c r="B730" s="433">
        <v>45257</v>
      </c>
      <c r="C730" s="328" t="s">
        <v>7420</v>
      </c>
      <c r="D730" s="524" t="s">
        <v>297</v>
      </c>
      <c r="E730" s="523" t="s">
        <v>369</v>
      </c>
      <c r="F730" s="262" t="s">
        <v>395</v>
      </c>
      <c r="G730" s="247" t="s">
        <v>7460</v>
      </c>
      <c r="H730" s="316">
        <v>1413125</v>
      </c>
      <c r="I730" s="317">
        <v>0</v>
      </c>
      <c r="J730" s="527">
        <v>1273085</v>
      </c>
      <c r="K730" s="527">
        <v>140039</v>
      </c>
      <c r="L730" s="336">
        <f t="shared" si="246"/>
        <v>1413124</v>
      </c>
      <c r="M730" s="316">
        <f t="shared" si="247"/>
        <v>1413125</v>
      </c>
    </row>
    <row r="731" spans="1:13" s="248" customFormat="1" x14ac:dyDescent="0.25">
      <c r="A731" s="264">
        <v>45260</v>
      </c>
      <c r="B731" s="433">
        <v>45258</v>
      </c>
      <c r="C731" s="328" t="s">
        <v>7421</v>
      </c>
      <c r="D731" s="524" t="s">
        <v>297</v>
      </c>
      <c r="E731" s="523" t="s">
        <v>369</v>
      </c>
      <c r="F731" s="262" t="s">
        <v>395</v>
      </c>
      <c r="G731" s="247" t="s">
        <v>7461</v>
      </c>
      <c r="H731" s="316">
        <v>1508220</v>
      </c>
      <c r="I731" s="317">
        <v>0</v>
      </c>
      <c r="J731" s="527">
        <v>1358756</v>
      </c>
      <c r="K731" s="527">
        <v>149463</v>
      </c>
      <c r="L731" s="336">
        <f t="shared" si="246"/>
        <v>1508219</v>
      </c>
      <c r="M731" s="316">
        <f t="shared" si="247"/>
        <v>1508220</v>
      </c>
    </row>
    <row r="732" spans="1:13" s="248" customFormat="1" x14ac:dyDescent="0.25">
      <c r="A732" s="264">
        <v>45262</v>
      </c>
      <c r="B732" s="433">
        <v>45259</v>
      </c>
      <c r="C732" s="328" t="s">
        <v>7422</v>
      </c>
      <c r="D732" s="524" t="s">
        <v>297</v>
      </c>
      <c r="E732" s="523" t="s">
        <v>369</v>
      </c>
      <c r="F732" s="262" t="s">
        <v>395</v>
      </c>
      <c r="G732" s="247" t="s">
        <v>7462</v>
      </c>
      <c r="H732" s="316">
        <v>3710700</v>
      </c>
      <c r="I732" s="317">
        <v>0</v>
      </c>
      <c r="J732" s="527">
        <v>3342972</v>
      </c>
      <c r="K732" s="527">
        <v>367727</v>
      </c>
      <c r="L732" s="336">
        <f t="shared" si="246"/>
        <v>3710699</v>
      </c>
      <c r="M732" s="316">
        <f t="shared" si="247"/>
        <v>3710700</v>
      </c>
    </row>
    <row r="733" spans="1:13" s="248" customFormat="1" x14ac:dyDescent="0.25">
      <c r="A733" s="264">
        <v>45262</v>
      </c>
      <c r="B733" s="433">
        <v>45260</v>
      </c>
      <c r="C733" s="328" t="s">
        <v>7423</v>
      </c>
      <c r="D733" s="524" t="s">
        <v>297</v>
      </c>
      <c r="E733" s="523" t="s">
        <v>369</v>
      </c>
      <c r="F733" s="262" t="s">
        <v>395</v>
      </c>
      <c r="G733" s="247" t="s">
        <v>7463</v>
      </c>
      <c r="H733" s="316">
        <v>8994623.75</v>
      </c>
      <c r="I733" s="317">
        <v>0</v>
      </c>
      <c r="J733" s="527">
        <v>8103264</v>
      </c>
      <c r="K733" s="527">
        <v>891359</v>
      </c>
      <c r="L733" s="336">
        <f t="shared" si="246"/>
        <v>8994623</v>
      </c>
      <c r="M733" s="316">
        <f t="shared" si="247"/>
        <v>8994623.75</v>
      </c>
    </row>
    <row r="734" spans="1:13" s="248" customFormat="1" x14ac:dyDescent="0.25">
      <c r="A734" s="264">
        <v>45205</v>
      </c>
      <c r="B734" s="433">
        <v>45202</v>
      </c>
      <c r="C734" s="328" t="s">
        <v>7276</v>
      </c>
      <c r="D734" s="263" t="s">
        <v>299</v>
      </c>
      <c r="E734" s="265" t="s">
        <v>372</v>
      </c>
      <c r="F734" s="262" t="s">
        <v>6274</v>
      </c>
      <c r="G734" s="247" t="s">
        <v>7275</v>
      </c>
      <c r="H734" s="316">
        <v>61614000</v>
      </c>
      <c r="I734" s="317">
        <v>0</v>
      </c>
      <c r="J734" s="527">
        <v>55508108</v>
      </c>
      <c r="K734" s="527">
        <v>6105891</v>
      </c>
      <c r="L734" s="336">
        <f t="shared" ref="L734" si="248">SUM(J734:K734)</f>
        <v>61613999</v>
      </c>
      <c r="M734" s="316">
        <f t="shared" ref="M734" si="249">H734-I734</f>
        <v>61614000</v>
      </c>
    </row>
    <row r="735" spans="1:13" s="248" customFormat="1" x14ac:dyDescent="0.25">
      <c r="A735" s="264">
        <v>45205</v>
      </c>
      <c r="B735" s="433">
        <v>45202</v>
      </c>
      <c r="C735" s="328" t="s">
        <v>7130</v>
      </c>
      <c r="D735" s="263" t="s">
        <v>299</v>
      </c>
      <c r="E735" s="265" t="s">
        <v>372</v>
      </c>
      <c r="F735" s="262" t="s">
        <v>6274</v>
      </c>
      <c r="G735" s="247" t="s">
        <v>7129</v>
      </c>
      <c r="H735" s="316">
        <v>33705000</v>
      </c>
      <c r="I735" s="317">
        <v>0</v>
      </c>
      <c r="J735" s="527">
        <v>30364864</v>
      </c>
      <c r="K735" s="527">
        <v>3340135</v>
      </c>
      <c r="L735" s="336">
        <f t="shared" ref="L735" si="250">SUM(J735:K735)</f>
        <v>33704999</v>
      </c>
      <c r="M735" s="316">
        <f t="shared" ref="M735:M736" si="251">H735-I735</f>
        <v>33705000</v>
      </c>
    </row>
    <row r="736" spans="1:13" s="248" customFormat="1" x14ac:dyDescent="0.25">
      <c r="A736" s="264">
        <v>45262</v>
      </c>
      <c r="B736" s="433">
        <v>45260</v>
      </c>
      <c r="C736" s="328" t="s">
        <v>7427</v>
      </c>
      <c r="D736" s="263" t="s">
        <v>299</v>
      </c>
      <c r="E736" s="265" t="s">
        <v>372</v>
      </c>
      <c r="F736" s="262" t="s">
        <v>6274</v>
      </c>
      <c r="G736" s="247" t="s">
        <v>7447</v>
      </c>
      <c r="H736" s="316">
        <v>20212150</v>
      </c>
      <c r="I736" s="317">
        <v>0</v>
      </c>
      <c r="J736" s="527">
        <v>17153982</v>
      </c>
      <c r="K736" s="527">
        <v>1886938</v>
      </c>
      <c r="L736" s="336">
        <f t="shared" ref="L736" si="252">SUM(J736:K736)</f>
        <v>19040920</v>
      </c>
      <c r="M736" s="316">
        <f t="shared" si="251"/>
        <v>20212150</v>
      </c>
    </row>
    <row r="737" spans="1:13" s="248" customFormat="1" x14ac:dyDescent="0.25">
      <c r="A737" s="264">
        <v>45232</v>
      </c>
      <c r="B737" s="433">
        <v>45231</v>
      </c>
      <c r="C737" s="328" t="s">
        <v>7424</v>
      </c>
      <c r="D737" s="263" t="s">
        <v>5996</v>
      </c>
      <c r="E737" s="265" t="s">
        <v>5964</v>
      </c>
      <c r="F737" s="262" t="s">
        <v>5997</v>
      </c>
      <c r="G737" s="247" t="s">
        <v>7442</v>
      </c>
      <c r="H737" s="316">
        <v>7632000</v>
      </c>
      <c r="I737" s="317">
        <v>228951.96330000003</v>
      </c>
      <c r="J737" s="527">
        <v>6669414</v>
      </c>
      <c r="K737" s="527">
        <v>733636</v>
      </c>
      <c r="L737" s="336">
        <f t="shared" si="242"/>
        <v>7403050</v>
      </c>
      <c r="M737" s="316">
        <f t="shared" si="243"/>
        <v>7403048.0367000001</v>
      </c>
    </row>
    <row r="738" spans="1:13" s="248" customFormat="1" x14ac:dyDescent="0.25">
      <c r="A738" s="751"/>
      <c r="B738" s="814">
        <v>45245</v>
      </c>
      <c r="C738" s="815" t="s">
        <v>7444</v>
      </c>
      <c r="D738" s="816" t="s">
        <v>5996</v>
      </c>
      <c r="E738" s="817" t="s">
        <v>5964</v>
      </c>
      <c r="F738" s="818" t="s">
        <v>5997</v>
      </c>
      <c r="G738" s="819" t="s">
        <v>7443</v>
      </c>
      <c r="H738" s="336"/>
      <c r="I738" s="317">
        <v>0</v>
      </c>
      <c r="J738" s="527">
        <v>6669414</v>
      </c>
      <c r="K738" s="527">
        <v>733636</v>
      </c>
      <c r="L738" s="336">
        <f t="shared" ref="L738" si="253">SUM(J738:K738)</f>
        <v>7403050</v>
      </c>
      <c r="M738" s="316">
        <f t="shared" ref="M738" si="254">H738-I738</f>
        <v>0</v>
      </c>
    </row>
    <row r="739" spans="1:13" s="248" customFormat="1" x14ac:dyDescent="0.25">
      <c r="A739" s="264">
        <v>45247</v>
      </c>
      <c r="B739" s="433">
        <v>45245</v>
      </c>
      <c r="C739" s="328" t="s">
        <v>7180</v>
      </c>
      <c r="D739" s="263" t="s">
        <v>5996</v>
      </c>
      <c r="E739" s="265" t="s">
        <v>5964</v>
      </c>
      <c r="F739" s="262" t="s">
        <v>5997</v>
      </c>
      <c r="G739" s="247" t="s">
        <v>7445</v>
      </c>
      <c r="H739" s="316">
        <v>17808000</v>
      </c>
      <c r="I739" s="317">
        <v>534204.57180000003</v>
      </c>
      <c r="J739" s="527">
        <v>15561982</v>
      </c>
      <c r="K739" s="527">
        <v>1711818</v>
      </c>
      <c r="L739" s="336">
        <f t="shared" ref="L739" si="255">SUM(J739:K739)</f>
        <v>17273800</v>
      </c>
      <c r="M739" s="316">
        <f t="shared" ref="M739" si="256">H739-I739</f>
        <v>17273795.428199999</v>
      </c>
    </row>
    <row r="740" spans="1:13" s="248" customFormat="1" x14ac:dyDescent="0.25">
      <c r="A740" s="264">
        <v>45260</v>
      </c>
      <c r="B740" s="433">
        <v>45259</v>
      </c>
      <c r="C740" s="328" t="s">
        <v>7425</v>
      </c>
      <c r="D740" s="263" t="s">
        <v>5996</v>
      </c>
      <c r="E740" s="265" t="s">
        <v>5964</v>
      </c>
      <c r="F740" s="262" t="s">
        <v>5997</v>
      </c>
      <c r="G740" s="247" t="s">
        <v>7446</v>
      </c>
      <c r="H740" s="316">
        <v>7403040</v>
      </c>
      <c r="I740" s="317">
        <v>0</v>
      </c>
      <c r="J740" s="527">
        <v>6669414</v>
      </c>
      <c r="K740" s="527">
        <v>733636</v>
      </c>
      <c r="L740" s="336">
        <f t="shared" ref="L740" si="257">SUM(J740:K740)</f>
        <v>7403050</v>
      </c>
      <c r="M740" s="316">
        <f t="shared" ref="M740" si="258">H740-I740</f>
        <v>7403040</v>
      </c>
    </row>
    <row r="741" spans="1:13" s="248" customFormat="1" x14ac:dyDescent="0.25">
      <c r="A741" s="264">
        <v>45232</v>
      </c>
      <c r="B741" s="433">
        <v>45233</v>
      </c>
      <c r="C741" s="328" t="s">
        <v>7184</v>
      </c>
      <c r="D741" s="263" t="s">
        <v>397</v>
      </c>
      <c r="E741" s="265" t="s">
        <v>7135</v>
      </c>
      <c r="F741" s="262" t="s">
        <v>396</v>
      </c>
      <c r="G741" s="247" t="s">
        <v>7131</v>
      </c>
      <c r="H741" s="316">
        <v>5960700.0000000009</v>
      </c>
      <c r="I741" s="317">
        <v>0</v>
      </c>
      <c r="J741" s="527">
        <v>5370000</v>
      </c>
      <c r="K741" s="527">
        <v>590700</v>
      </c>
      <c r="L741" s="336">
        <f t="shared" si="242"/>
        <v>5960700</v>
      </c>
      <c r="M741" s="316">
        <f t="shared" si="243"/>
        <v>5960700.0000000009</v>
      </c>
    </row>
    <row r="742" spans="1:13" s="248" customFormat="1" x14ac:dyDescent="0.25">
      <c r="A742" s="264">
        <v>45239</v>
      </c>
      <c r="B742" s="433">
        <v>45237</v>
      </c>
      <c r="C742" s="328" t="s">
        <v>7181</v>
      </c>
      <c r="D742" s="263" t="s">
        <v>397</v>
      </c>
      <c r="E742" s="265" t="s">
        <v>7135</v>
      </c>
      <c r="F742" s="262" t="s">
        <v>396</v>
      </c>
      <c r="G742" s="247" t="s">
        <v>7132</v>
      </c>
      <c r="H742" s="316">
        <v>4975020</v>
      </c>
      <c r="I742" s="317">
        <v>0</v>
      </c>
      <c r="J742" s="527">
        <v>4482000</v>
      </c>
      <c r="K742" s="527">
        <v>493020</v>
      </c>
      <c r="L742" s="336">
        <f t="shared" ref="L742:L744" si="259">SUM(J742:K742)</f>
        <v>4975020</v>
      </c>
      <c r="M742" s="316">
        <f t="shared" ref="M742:M744" si="260">H742-I742</f>
        <v>4975020</v>
      </c>
    </row>
    <row r="743" spans="1:13" s="248" customFormat="1" x14ac:dyDescent="0.25">
      <c r="A743" s="264">
        <v>45243</v>
      </c>
      <c r="B743" s="433">
        <v>45240</v>
      </c>
      <c r="C743" s="328" t="s">
        <v>7182</v>
      </c>
      <c r="D743" s="263" t="s">
        <v>397</v>
      </c>
      <c r="E743" s="265" t="s">
        <v>7135</v>
      </c>
      <c r="F743" s="262" t="s">
        <v>396</v>
      </c>
      <c r="G743" s="247" t="s">
        <v>7133</v>
      </c>
      <c r="H743" s="316">
        <v>11622810.000000002</v>
      </c>
      <c r="I743" s="317">
        <v>0</v>
      </c>
      <c r="J743" s="527">
        <v>10471000</v>
      </c>
      <c r="K743" s="527">
        <v>1151810</v>
      </c>
      <c r="L743" s="336">
        <f t="shared" si="259"/>
        <v>11622810</v>
      </c>
      <c r="M743" s="316">
        <f t="shared" si="260"/>
        <v>11622810.000000002</v>
      </c>
    </row>
    <row r="744" spans="1:13" s="248" customFormat="1" x14ac:dyDescent="0.25">
      <c r="A744" s="264">
        <v>45245</v>
      </c>
      <c r="B744" s="433">
        <v>45243</v>
      </c>
      <c r="C744" s="328" t="s">
        <v>7183</v>
      </c>
      <c r="D744" s="263" t="s">
        <v>397</v>
      </c>
      <c r="E744" s="265" t="s">
        <v>7135</v>
      </c>
      <c r="F744" s="262" t="s">
        <v>396</v>
      </c>
      <c r="G744" s="247" t="s">
        <v>7134</v>
      </c>
      <c r="H744" s="316">
        <v>11908080.000000002</v>
      </c>
      <c r="I744" s="317">
        <v>0</v>
      </c>
      <c r="J744" s="527">
        <v>10728000</v>
      </c>
      <c r="K744" s="527">
        <v>1180080</v>
      </c>
      <c r="L744" s="336">
        <f t="shared" si="259"/>
        <v>11908080</v>
      </c>
      <c r="M744" s="316">
        <f t="shared" si="260"/>
        <v>11908080.000000002</v>
      </c>
    </row>
    <row r="745" spans="1:13" s="248" customFormat="1" x14ac:dyDescent="0.25">
      <c r="A745" s="264">
        <v>45252</v>
      </c>
      <c r="B745" s="433">
        <v>45250</v>
      </c>
      <c r="C745" s="328" t="s">
        <v>7185</v>
      </c>
      <c r="D745" s="263" t="s">
        <v>378</v>
      </c>
      <c r="E745" s="265" t="s">
        <v>379</v>
      </c>
      <c r="F745" s="262" t="s">
        <v>380</v>
      </c>
      <c r="G745" s="247" t="s">
        <v>7466</v>
      </c>
      <c r="H745" s="316">
        <v>47547024</v>
      </c>
      <c r="I745" s="317">
        <v>3328290.0000000005</v>
      </c>
      <c r="J745" s="527">
        <v>39836676</v>
      </c>
      <c r="K745" s="527">
        <v>4382034</v>
      </c>
      <c r="L745" s="336">
        <f t="shared" si="242"/>
        <v>44218710</v>
      </c>
      <c r="M745" s="316">
        <f t="shared" si="243"/>
        <v>44218734</v>
      </c>
    </row>
    <row r="746" spans="1:13" s="248" customFormat="1" x14ac:dyDescent="0.25">
      <c r="A746" s="264">
        <v>45247</v>
      </c>
      <c r="B746" s="433">
        <v>45244</v>
      </c>
      <c r="C746" s="328" t="s">
        <v>7137</v>
      </c>
      <c r="D746" s="263" t="s">
        <v>303</v>
      </c>
      <c r="E746" s="265" t="s">
        <v>373</v>
      </c>
      <c r="F746" s="262" t="s">
        <v>4317</v>
      </c>
      <c r="G746" s="247" t="s">
        <v>7136</v>
      </c>
      <c r="H746" s="316">
        <v>31600000</v>
      </c>
      <c r="I746" s="317">
        <v>2800000</v>
      </c>
      <c r="J746" s="527">
        <v>25945963</v>
      </c>
      <c r="K746" s="527">
        <v>2854055</v>
      </c>
      <c r="L746" s="336">
        <f t="shared" si="242"/>
        <v>28800018</v>
      </c>
      <c r="M746" s="316">
        <f t="shared" si="243"/>
        <v>28800000</v>
      </c>
    </row>
    <row r="747" spans="1:13" s="248" customFormat="1" x14ac:dyDescent="0.25">
      <c r="A747" s="264">
        <v>0</v>
      </c>
      <c r="B747" s="433">
        <v>45231</v>
      </c>
      <c r="C747" s="328" t="s">
        <v>7186</v>
      </c>
      <c r="D747" s="263" t="s">
        <v>376</v>
      </c>
      <c r="E747" s="265" t="s">
        <v>377</v>
      </c>
      <c r="F747" s="262" t="s">
        <v>4316</v>
      </c>
      <c r="G747" s="247" t="s">
        <v>7100</v>
      </c>
      <c r="H747" s="316">
        <v>279120000</v>
      </c>
      <c r="I747" s="317">
        <v>54227184</v>
      </c>
      <c r="J747" s="527">
        <v>202606140</v>
      </c>
      <c r="K747" s="527">
        <v>22286675</v>
      </c>
      <c r="L747" s="336">
        <f t="shared" ref="L747:L755" si="261">SUM(J747:K747)</f>
        <v>224892815</v>
      </c>
      <c r="M747" s="316">
        <f t="shared" ref="M747:M755" si="262">H747-I747</f>
        <v>224892816</v>
      </c>
    </row>
    <row r="748" spans="1:13" s="248" customFormat="1" x14ac:dyDescent="0.25">
      <c r="A748" s="264">
        <v>45231</v>
      </c>
      <c r="B748" s="433">
        <v>45231</v>
      </c>
      <c r="C748" s="328" t="s">
        <v>7187</v>
      </c>
      <c r="D748" s="263" t="s">
        <v>376</v>
      </c>
      <c r="E748" s="265" t="s">
        <v>377</v>
      </c>
      <c r="F748" s="262" t="s">
        <v>4316</v>
      </c>
      <c r="G748" s="247" t="s">
        <v>7101</v>
      </c>
      <c r="H748" s="316">
        <v>52339600</v>
      </c>
      <c r="I748" s="317">
        <v>8897732</v>
      </c>
      <c r="J748" s="527">
        <v>39136818</v>
      </c>
      <c r="K748" s="527">
        <v>4305049</v>
      </c>
      <c r="L748" s="336">
        <f t="shared" si="261"/>
        <v>43441867</v>
      </c>
      <c r="M748" s="316">
        <f t="shared" si="262"/>
        <v>43441868</v>
      </c>
    </row>
    <row r="749" spans="1:13" s="248" customFormat="1" x14ac:dyDescent="0.25">
      <c r="A749" s="264">
        <v>45232</v>
      </c>
      <c r="B749" s="433">
        <v>45231</v>
      </c>
      <c r="C749" s="328" t="s">
        <v>7188</v>
      </c>
      <c r="D749" s="263" t="s">
        <v>376</v>
      </c>
      <c r="E749" s="265" t="s">
        <v>377</v>
      </c>
      <c r="F749" s="262" t="s">
        <v>4316</v>
      </c>
      <c r="G749" s="247" t="s">
        <v>7102</v>
      </c>
      <c r="H749" s="316">
        <v>32832000</v>
      </c>
      <c r="I749" s="317">
        <v>6011712</v>
      </c>
      <c r="J749" s="527">
        <v>24162421</v>
      </c>
      <c r="K749" s="527">
        <v>2657866</v>
      </c>
      <c r="L749" s="336">
        <f t="shared" si="261"/>
        <v>26820287</v>
      </c>
      <c r="M749" s="316">
        <f t="shared" si="262"/>
        <v>26820288</v>
      </c>
    </row>
    <row r="750" spans="1:13" s="248" customFormat="1" x14ac:dyDescent="0.25">
      <c r="A750" s="264">
        <v>45232</v>
      </c>
      <c r="B750" s="433">
        <v>45231</v>
      </c>
      <c r="C750" s="328" t="s">
        <v>7189</v>
      </c>
      <c r="D750" s="263" t="s">
        <v>376</v>
      </c>
      <c r="E750" s="265" t="s">
        <v>377</v>
      </c>
      <c r="F750" s="262" t="s">
        <v>4316</v>
      </c>
      <c r="G750" s="247" t="s">
        <v>7103</v>
      </c>
      <c r="H750" s="316">
        <v>161352000</v>
      </c>
      <c r="I750" s="317">
        <v>31447504.799999997</v>
      </c>
      <c r="J750" s="527">
        <v>117031076</v>
      </c>
      <c r="K750" s="527">
        <v>12873418</v>
      </c>
      <c r="L750" s="336">
        <f t="shared" si="261"/>
        <v>129904494</v>
      </c>
      <c r="M750" s="316">
        <f t="shared" si="262"/>
        <v>129904495.2</v>
      </c>
    </row>
    <row r="751" spans="1:13" s="248" customFormat="1" x14ac:dyDescent="0.25">
      <c r="A751" s="264">
        <v>45232</v>
      </c>
      <c r="B751" s="433">
        <v>45231</v>
      </c>
      <c r="C751" s="328" t="s">
        <v>7190</v>
      </c>
      <c r="D751" s="263" t="s">
        <v>376</v>
      </c>
      <c r="E751" s="265" t="s">
        <v>377</v>
      </c>
      <c r="F751" s="262" t="s">
        <v>4316</v>
      </c>
      <c r="G751" s="247" t="s">
        <v>7104</v>
      </c>
      <c r="H751" s="316">
        <v>18734400</v>
      </c>
      <c r="I751" s="317">
        <v>3184848</v>
      </c>
      <c r="J751" s="527">
        <v>14008605</v>
      </c>
      <c r="K751" s="527">
        <v>1540946</v>
      </c>
      <c r="L751" s="336">
        <f t="shared" si="261"/>
        <v>15549551</v>
      </c>
      <c r="M751" s="316">
        <f t="shared" si="262"/>
        <v>15549552</v>
      </c>
    </row>
    <row r="752" spans="1:13" s="248" customFormat="1" x14ac:dyDescent="0.25">
      <c r="A752" s="264">
        <v>45232</v>
      </c>
      <c r="B752" s="433">
        <v>45231</v>
      </c>
      <c r="C752" s="328" t="s">
        <v>7191</v>
      </c>
      <c r="D752" s="263" t="s">
        <v>376</v>
      </c>
      <c r="E752" s="265" t="s">
        <v>377</v>
      </c>
      <c r="F752" s="262" t="s">
        <v>4316</v>
      </c>
      <c r="G752" s="247" t="s">
        <v>7105</v>
      </c>
      <c r="H752" s="316">
        <v>6409200</v>
      </c>
      <c r="I752" s="317">
        <v>1089564</v>
      </c>
      <c r="J752" s="527">
        <v>4792464</v>
      </c>
      <c r="K752" s="527">
        <v>527171</v>
      </c>
      <c r="L752" s="336">
        <f t="shared" si="261"/>
        <v>5319635</v>
      </c>
      <c r="M752" s="316">
        <f t="shared" si="262"/>
        <v>5319636</v>
      </c>
    </row>
    <row r="753" spans="1:13" s="248" customFormat="1" x14ac:dyDescent="0.25">
      <c r="A753" s="264">
        <v>45236</v>
      </c>
      <c r="B753" s="433">
        <v>45232</v>
      </c>
      <c r="C753" s="328" t="s">
        <v>7192</v>
      </c>
      <c r="D753" s="263" t="s">
        <v>376</v>
      </c>
      <c r="E753" s="265" t="s">
        <v>377</v>
      </c>
      <c r="F753" s="262" t="s">
        <v>4316</v>
      </c>
      <c r="G753" s="247" t="s">
        <v>7106</v>
      </c>
      <c r="H753" s="316">
        <v>4320000</v>
      </c>
      <c r="I753" s="317">
        <v>734400</v>
      </c>
      <c r="J753" s="527">
        <v>3230270</v>
      </c>
      <c r="K753" s="527">
        <v>355329</v>
      </c>
      <c r="L753" s="336">
        <f t="shared" si="261"/>
        <v>3585599</v>
      </c>
      <c r="M753" s="316">
        <f t="shared" si="262"/>
        <v>3585600</v>
      </c>
    </row>
    <row r="754" spans="1:13" s="248" customFormat="1" x14ac:dyDescent="0.25">
      <c r="A754" s="264">
        <v>45236</v>
      </c>
      <c r="B754" s="433">
        <v>45233</v>
      </c>
      <c r="C754" s="328" t="s">
        <v>7440</v>
      </c>
      <c r="D754" s="263" t="s">
        <v>376</v>
      </c>
      <c r="E754" s="265" t="s">
        <v>377</v>
      </c>
      <c r="F754" s="262" t="s">
        <v>4316</v>
      </c>
      <c r="G754" s="247" t="s">
        <v>7107</v>
      </c>
      <c r="H754" s="316">
        <v>17288000</v>
      </c>
      <c r="I754" s="317">
        <v>2938960</v>
      </c>
      <c r="J754" s="527">
        <v>12927063</v>
      </c>
      <c r="K754" s="527">
        <v>1421976</v>
      </c>
      <c r="L754" s="336">
        <f t="shared" si="261"/>
        <v>14349039</v>
      </c>
      <c r="M754" s="316">
        <f t="shared" si="262"/>
        <v>14349040</v>
      </c>
    </row>
    <row r="755" spans="1:13" s="248" customFormat="1" x14ac:dyDescent="0.25">
      <c r="A755" s="264">
        <v>45236</v>
      </c>
      <c r="B755" s="433">
        <v>45234</v>
      </c>
      <c r="C755" s="328" t="s">
        <v>7193</v>
      </c>
      <c r="D755" s="263" t="s">
        <v>376</v>
      </c>
      <c r="E755" s="265" t="s">
        <v>377</v>
      </c>
      <c r="F755" s="262" t="s">
        <v>4316</v>
      </c>
      <c r="G755" s="247" t="s">
        <v>7108</v>
      </c>
      <c r="H755" s="316">
        <v>82359600</v>
      </c>
      <c r="I755" s="317">
        <v>14001132</v>
      </c>
      <c r="J755" s="527">
        <v>61584205</v>
      </c>
      <c r="K755" s="527">
        <v>6774262</v>
      </c>
      <c r="L755" s="336">
        <f t="shared" si="261"/>
        <v>68358467</v>
      </c>
      <c r="M755" s="316">
        <f t="shared" si="262"/>
        <v>68358468</v>
      </c>
    </row>
    <row r="756" spans="1:13" s="248" customFormat="1" x14ac:dyDescent="0.25">
      <c r="A756" s="264">
        <v>45238</v>
      </c>
      <c r="B756" s="433">
        <v>45236</v>
      </c>
      <c r="C756" s="328" t="s">
        <v>7194</v>
      </c>
      <c r="D756" s="263" t="s">
        <v>376</v>
      </c>
      <c r="E756" s="265" t="s">
        <v>377</v>
      </c>
      <c r="F756" s="262" t="s">
        <v>4316</v>
      </c>
      <c r="G756" s="247" t="s">
        <v>7109</v>
      </c>
      <c r="H756" s="316">
        <v>10082000</v>
      </c>
      <c r="I756" s="317">
        <v>1713940</v>
      </c>
      <c r="J756" s="527">
        <v>7538792</v>
      </c>
      <c r="K756" s="527">
        <v>829267</v>
      </c>
      <c r="L756" s="336">
        <f t="shared" si="242"/>
        <v>8368059</v>
      </c>
      <c r="M756" s="316">
        <f t="shared" si="243"/>
        <v>8368060</v>
      </c>
    </row>
    <row r="757" spans="1:13" s="248" customFormat="1" x14ac:dyDescent="0.25">
      <c r="A757" s="264">
        <v>45238</v>
      </c>
      <c r="B757" s="433">
        <v>45237</v>
      </c>
      <c r="C757" s="328" t="s">
        <v>7195</v>
      </c>
      <c r="D757" s="263" t="s">
        <v>376</v>
      </c>
      <c r="E757" s="265" t="s">
        <v>377</v>
      </c>
      <c r="F757" s="262" t="s">
        <v>4316</v>
      </c>
      <c r="G757" s="247" t="s">
        <v>7110</v>
      </c>
      <c r="H757" s="316">
        <v>149040000</v>
      </c>
      <c r="I757" s="317">
        <v>29047896</v>
      </c>
      <c r="J757" s="527">
        <v>108100994</v>
      </c>
      <c r="K757" s="527">
        <v>11891109</v>
      </c>
      <c r="L757" s="336">
        <f t="shared" ref="L757:L760" si="263">SUM(J757:K757)</f>
        <v>119992103</v>
      </c>
      <c r="M757" s="316">
        <f t="shared" ref="M757:M760" si="264">H757-I757</f>
        <v>119992104</v>
      </c>
    </row>
    <row r="758" spans="1:13" s="248" customFormat="1" x14ac:dyDescent="0.25">
      <c r="A758" s="264">
        <v>45238</v>
      </c>
      <c r="B758" s="433">
        <v>45237</v>
      </c>
      <c r="C758" s="328" t="s">
        <v>7196</v>
      </c>
      <c r="D758" s="263" t="s">
        <v>376</v>
      </c>
      <c r="E758" s="265" t="s">
        <v>377</v>
      </c>
      <c r="F758" s="262" t="s">
        <v>4316</v>
      </c>
      <c r="G758" s="247" t="s">
        <v>7111</v>
      </c>
      <c r="H758" s="316">
        <v>5808000</v>
      </c>
      <c r="I758" s="317">
        <v>987360.00000000012</v>
      </c>
      <c r="J758" s="527">
        <v>4342918</v>
      </c>
      <c r="K758" s="527">
        <v>477721</v>
      </c>
      <c r="L758" s="336">
        <f t="shared" si="263"/>
        <v>4820639</v>
      </c>
      <c r="M758" s="316">
        <f t="shared" si="264"/>
        <v>4820640</v>
      </c>
    </row>
    <row r="759" spans="1:13" s="248" customFormat="1" x14ac:dyDescent="0.25">
      <c r="A759" s="264">
        <v>45240</v>
      </c>
      <c r="B759" s="433">
        <v>45238</v>
      </c>
      <c r="C759" s="328" t="s">
        <v>7197</v>
      </c>
      <c r="D759" s="263" t="s">
        <v>376</v>
      </c>
      <c r="E759" s="265" t="s">
        <v>377</v>
      </c>
      <c r="F759" s="262" t="s">
        <v>4316</v>
      </c>
      <c r="G759" s="247" t="s">
        <v>7112</v>
      </c>
      <c r="H759" s="316">
        <v>6684000</v>
      </c>
      <c r="I759" s="317">
        <v>1136280</v>
      </c>
      <c r="J759" s="527">
        <v>4997945</v>
      </c>
      <c r="K759" s="527">
        <v>549774</v>
      </c>
      <c r="L759" s="336">
        <f t="shared" si="263"/>
        <v>5547719</v>
      </c>
      <c r="M759" s="316">
        <f t="shared" si="264"/>
        <v>5547720</v>
      </c>
    </row>
    <row r="760" spans="1:13" s="248" customFormat="1" x14ac:dyDescent="0.25">
      <c r="A760" s="264">
        <v>45240</v>
      </c>
      <c r="B760" s="433">
        <v>45239</v>
      </c>
      <c r="C760" s="328" t="s">
        <v>7198</v>
      </c>
      <c r="D760" s="263" t="s">
        <v>376</v>
      </c>
      <c r="E760" s="265" t="s">
        <v>377</v>
      </c>
      <c r="F760" s="262" t="s">
        <v>4316</v>
      </c>
      <c r="G760" s="247" t="s">
        <v>7113</v>
      </c>
      <c r="H760" s="316">
        <v>12600000</v>
      </c>
      <c r="I760" s="317">
        <v>2142000</v>
      </c>
      <c r="J760" s="527">
        <v>9421621</v>
      </c>
      <c r="K760" s="527">
        <v>1036378</v>
      </c>
      <c r="L760" s="336">
        <f t="shared" si="263"/>
        <v>10457999</v>
      </c>
      <c r="M760" s="316">
        <f t="shared" si="264"/>
        <v>10458000</v>
      </c>
    </row>
    <row r="761" spans="1:13" s="248" customFormat="1" x14ac:dyDescent="0.25">
      <c r="A761" s="264">
        <v>45243</v>
      </c>
      <c r="B761" s="433">
        <v>45240</v>
      </c>
      <c r="C761" s="328" t="s">
        <v>7199</v>
      </c>
      <c r="D761" s="263" t="s">
        <v>376</v>
      </c>
      <c r="E761" s="265" t="s">
        <v>377</v>
      </c>
      <c r="F761" s="262" t="s">
        <v>4316</v>
      </c>
      <c r="G761" s="247" t="s">
        <v>7114</v>
      </c>
      <c r="H761" s="316">
        <v>28718400</v>
      </c>
      <c r="I761" s="317">
        <v>4882128</v>
      </c>
      <c r="J761" s="527">
        <v>21474118</v>
      </c>
      <c r="K761" s="527">
        <v>2362153</v>
      </c>
      <c r="L761" s="336">
        <f t="shared" si="242"/>
        <v>23836271</v>
      </c>
      <c r="M761" s="316">
        <f t="shared" si="243"/>
        <v>23836272</v>
      </c>
    </row>
    <row r="762" spans="1:13" s="248" customFormat="1" x14ac:dyDescent="0.25">
      <c r="A762" s="264">
        <v>45243</v>
      </c>
      <c r="B762" s="433">
        <v>45240</v>
      </c>
      <c r="C762" s="328" t="s">
        <v>7200</v>
      </c>
      <c r="D762" s="263" t="s">
        <v>376</v>
      </c>
      <c r="E762" s="265" t="s">
        <v>377</v>
      </c>
      <c r="F762" s="262" t="s">
        <v>4316</v>
      </c>
      <c r="G762" s="247" t="s">
        <v>7115</v>
      </c>
      <c r="H762" s="316">
        <v>14767600</v>
      </c>
      <c r="I762" s="317">
        <v>2510492</v>
      </c>
      <c r="J762" s="527">
        <v>11042439</v>
      </c>
      <c r="K762" s="527">
        <v>1214668</v>
      </c>
      <c r="L762" s="336">
        <f t="shared" ref="L762:L768" si="265">SUM(J762:K762)</f>
        <v>12257107</v>
      </c>
      <c r="M762" s="316">
        <f t="shared" ref="M762:M776" si="266">H762-I762</f>
        <v>12257108</v>
      </c>
    </row>
    <row r="763" spans="1:13" s="248" customFormat="1" x14ac:dyDescent="0.25">
      <c r="A763" s="264">
        <v>45243</v>
      </c>
      <c r="B763" s="433">
        <v>45240</v>
      </c>
      <c r="C763" s="328" t="s">
        <v>7201</v>
      </c>
      <c r="D763" s="263" t="s">
        <v>376</v>
      </c>
      <c r="E763" s="265" t="s">
        <v>377</v>
      </c>
      <c r="F763" s="262" t="s">
        <v>4316</v>
      </c>
      <c r="G763" s="247" t="s">
        <v>7116</v>
      </c>
      <c r="H763" s="316">
        <v>7319600</v>
      </c>
      <c r="I763" s="317">
        <v>1244332</v>
      </c>
      <c r="J763" s="527">
        <v>5473214</v>
      </c>
      <c r="K763" s="527">
        <v>602053</v>
      </c>
      <c r="L763" s="336">
        <f t="shared" si="265"/>
        <v>6075267</v>
      </c>
      <c r="M763" s="316">
        <f t="shared" si="266"/>
        <v>6075268</v>
      </c>
    </row>
    <row r="764" spans="1:13" s="248" customFormat="1" x14ac:dyDescent="0.25">
      <c r="A764" s="264">
        <v>45245</v>
      </c>
      <c r="B764" s="433">
        <v>45241</v>
      </c>
      <c r="C764" s="328" t="s">
        <v>7202</v>
      </c>
      <c r="D764" s="263" t="s">
        <v>376</v>
      </c>
      <c r="E764" s="265" t="s">
        <v>377</v>
      </c>
      <c r="F764" s="262" t="s">
        <v>4316</v>
      </c>
      <c r="G764" s="247" t="s">
        <v>7117</v>
      </c>
      <c r="H764" s="316">
        <v>2645600</v>
      </c>
      <c r="I764" s="317">
        <v>449752</v>
      </c>
      <c r="J764" s="527">
        <v>1978241</v>
      </c>
      <c r="K764" s="527">
        <v>217606</v>
      </c>
      <c r="L764" s="336">
        <f t="shared" si="265"/>
        <v>2195847</v>
      </c>
      <c r="M764" s="316">
        <f t="shared" si="266"/>
        <v>2195848</v>
      </c>
    </row>
    <row r="765" spans="1:13" s="248" customFormat="1" x14ac:dyDescent="0.25">
      <c r="A765" s="264">
        <v>45245</v>
      </c>
      <c r="B765" s="433">
        <v>45243</v>
      </c>
      <c r="C765" s="328" t="s">
        <v>7203</v>
      </c>
      <c r="D765" s="263" t="s">
        <v>376</v>
      </c>
      <c r="E765" s="265" t="s">
        <v>377</v>
      </c>
      <c r="F765" s="262" t="s">
        <v>4316</v>
      </c>
      <c r="G765" s="247" t="s">
        <v>7139</v>
      </c>
      <c r="H765" s="316">
        <v>57493200</v>
      </c>
      <c r="I765" s="317">
        <v>9773844</v>
      </c>
      <c r="J765" s="527">
        <v>42990410</v>
      </c>
      <c r="K765" s="527">
        <v>4728945</v>
      </c>
      <c r="L765" s="336">
        <f t="shared" si="265"/>
        <v>47719355</v>
      </c>
      <c r="M765" s="316">
        <f t="shared" si="266"/>
        <v>47719356</v>
      </c>
    </row>
    <row r="766" spans="1:13" s="248" customFormat="1" x14ac:dyDescent="0.25">
      <c r="A766" s="264">
        <v>45245</v>
      </c>
      <c r="B766" s="433">
        <v>45244</v>
      </c>
      <c r="C766" s="328" t="s">
        <v>7204</v>
      </c>
      <c r="D766" s="263" t="s">
        <v>376</v>
      </c>
      <c r="E766" s="265" t="s">
        <v>377</v>
      </c>
      <c r="F766" s="262" t="s">
        <v>4316</v>
      </c>
      <c r="G766" s="247" t="s">
        <v>7140</v>
      </c>
      <c r="H766" s="316">
        <v>5616000</v>
      </c>
      <c r="I766" s="317">
        <v>954720.00000000012</v>
      </c>
      <c r="J766" s="527">
        <v>4199351</v>
      </c>
      <c r="K766" s="527">
        <v>461928</v>
      </c>
      <c r="L766" s="336">
        <f t="shared" si="265"/>
        <v>4661279</v>
      </c>
      <c r="M766" s="316">
        <f t="shared" si="266"/>
        <v>4661280</v>
      </c>
    </row>
    <row r="767" spans="1:13" s="248" customFormat="1" x14ac:dyDescent="0.25">
      <c r="A767" s="264">
        <v>45247</v>
      </c>
      <c r="B767" s="433">
        <v>45245</v>
      </c>
      <c r="C767" s="328" t="s">
        <v>7205</v>
      </c>
      <c r="D767" s="263" t="s">
        <v>376</v>
      </c>
      <c r="E767" s="265" t="s">
        <v>377</v>
      </c>
      <c r="F767" s="262" t="s">
        <v>4316</v>
      </c>
      <c r="G767" s="247" t="s">
        <v>7141</v>
      </c>
      <c r="H767" s="316">
        <v>9030000</v>
      </c>
      <c r="I767" s="317">
        <v>1535100.0000000002</v>
      </c>
      <c r="J767" s="527">
        <v>6752162</v>
      </c>
      <c r="K767" s="527">
        <v>742737</v>
      </c>
      <c r="L767" s="336">
        <f t="shared" si="265"/>
        <v>7494899</v>
      </c>
      <c r="M767" s="316">
        <f t="shared" si="266"/>
        <v>7494900</v>
      </c>
    </row>
    <row r="768" spans="1:13" s="248" customFormat="1" x14ac:dyDescent="0.25">
      <c r="A768" s="264">
        <v>45252</v>
      </c>
      <c r="B768" s="433">
        <v>45246</v>
      </c>
      <c r="C768" s="328" t="s">
        <v>7441</v>
      </c>
      <c r="D768" s="263" t="s">
        <v>376</v>
      </c>
      <c r="E768" s="265" t="s">
        <v>377</v>
      </c>
      <c r="F768" s="262" t="s">
        <v>4316</v>
      </c>
      <c r="G768" s="247" t="s">
        <v>7142</v>
      </c>
      <c r="H768" s="316">
        <v>30964400</v>
      </c>
      <c r="I768" s="317">
        <v>5263948</v>
      </c>
      <c r="J768" s="527">
        <v>23153560</v>
      </c>
      <c r="K768" s="527">
        <v>2546891</v>
      </c>
      <c r="L768" s="336">
        <f t="shared" si="265"/>
        <v>25700451</v>
      </c>
      <c r="M768" s="316">
        <f t="shared" si="266"/>
        <v>25700452</v>
      </c>
    </row>
    <row r="769" spans="1:13" s="248" customFormat="1" x14ac:dyDescent="0.25">
      <c r="A769" s="264">
        <v>45252</v>
      </c>
      <c r="B769" s="433">
        <v>45247</v>
      </c>
      <c r="C769" s="328" t="s">
        <v>7206</v>
      </c>
      <c r="D769" s="263" t="s">
        <v>376</v>
      </c>
      <c r="E769" s="265" t="s">
        <v>377</v>
      </c>
      <c r="F769" s="262" t="s">
        <v>4316</v>
      </c>
      <c r="G769" s="247" t="s">
        <v>7220</v>
      </c>
      <c r="H769" s="316">
        <v>2434000</v>
      </c>
      <c r="I769" s="317">
        <v>413780</v>
      </c>
      <c r="J769" s="527">
        <v>1820018</v>
      </c>
      <c r="K769" s="527">
        <v>200201</v>
      </c>
      <c r="L769" s="336">
        <f t="shared" ref="L769:L776" si="267">SUM(J769:K769)</f>
        <v>2020219</v>
      </c>
      <c r="M769" s="316">
        <f t="shared" si="266"/>
        <v>2020220</v>
      </c>
    </row>
    <row r="770" spans="1:13" s="248" customFormat="1" x14ac:dyDescent="0.25">
      <c r="A770" s="264">
        <v>45252</v>
      </c>
      <c r="B770" s="433">
        <v>45250</v>
      </c>
      <c r="C770" s="328" t="s">
        <v>7207</v>
      </c>
      <c r="D770" s="263" t="s">
        <v>376</v>
      </c>
      <c r="E770" s="265" t="s">
        <v>377</v>
      </c>
      <c r="F770" s="262" t="s">
        <v>4316</v>
      </c>
      <c r="G770" s="247" t="s">
        <v>7221</v>
      </c>
      <c r="H770" s="316">
        <v>6720000</v>
      </c>
      <c r="I770" s="317">
        <v>1142400</v>
      </c>
      <c r="J770" s="527">
        <v>5024864</v>
      </c>
      <c r="K770" s="527">
        <v>552735</v>
      </c>
      <c r="L770" s="336">
        <f t="shared" si="267"/>
        <v>5577599</v>
      </c>
      <c r="M770" s="316">
        <f t="shared" si="266"/>
        <v>5577600</v>
      </c>
    </row>
    <row r="771" spans="1:13" s="248" customFormat="1" x14ac:dyDescent="0.25">
      <c r="A771" s="264">
        <v>45253</v>
      </c>
      <c r="B771" s="433">
        <v>45251</v>
      </c>
      <c r="C771" s="328" t="s">
        <v>7208</v>
      </c>
      <c r="D771" s="263" t="s">
        <v>376</v>
      </c>
      <c r="E771" s="265" t="s">
        <v>377</v>
      </c>
      <c r="F771" s="262" t="s">
        <v>4316</v>
      </c>
      <c r="G771" s="247" t="s">
        <v>7222</v>
      </c>
      <c r="H771" s="316">
        <v>3456000</v>
      </c>
      <c r="I771" s="317">
        <v>587520</v>
      </c>
      <c r="J771" s="527">
        <v>2584216</v>
      </c>
      <c r="K771" s="527">
        <v>284263</v>
      </c>
      <c r="L771" s="336">
        <f t="shared" si="267"/>
        <v>2868479</v>
      </c>
      <c r="M771" s="316">
        <f t="shared" si="266"/>
        <v>2868480</v>
      </c>
    </row>
    <row r="772" spans="1:13" s="248" customFormat="1" x14ac:dyDescent="0.25">
      <c r="A772" s="264">
        <v>45254</v>
      </c>
      <c r="B772" s="433">
        <v>45252</v>
      </c>
      <c r="C772" s="328" t="s">
        <v>7209</v>
      </c>
      <c r="D772" s="263" t="s">
        <v>376</v>
      </c>
      <c r="E772" s="265" t="s">
        <v>377</v>
      </c>
      <c r="F772" s="262" t="s">
        <v>4316</v>
      </c>
      <c r="G772" s="247" t="s">
        <v>7223</v>
      </c>
      <c r="H772" s="316">
        <v>6996000</v>
      </c>
      <c r="I772" s="317">
        <v>1189320</v>
      </c>
      <c r="J772" s="527">
        <v>5231243</v>
      </c>
      <c r="K772" s="527">
        <v>575436</v>
      </c>
      <c r="L772" s="336">
        <f t="shared" si="267"/>
        <v>5806679</v>
      </c>
      <c r="M772" s="316">
        <f t="shared" si="266"/>
        <v>5806680</v>
      </c>
    </row>
    <row r="773" spans="1:13" s="248" customFormat="1" x14ac:dyDescent="0.25">
      <c r="A773" s="264">
        <v>45254</v>
      </c>
      <c r="B773" s="433">
        <v>45252</v>
      </c>
      <c r="C773" s="328" t="s">
        <v>7210</v>
      </c>
      <c r="D773" s="263" t="s">
        <v>376</v>
      </c>
      <c r="E773" s="265" t="s">
        <v>377</v>
      </c>
      <c r="F773" s="262" t="s">
        <v>4316</v>
      </c>
      <c r="G773" s="247" t="s">
        <v>7224</v>
      </c>
      <c r="H773" s="316">
        <v>18092400</v>
      </c>
      <c r="I773" s="317">
        <v>3075708</v>
      </c>
      <c r="J773" s="527">
        <v>13528551</v>
      </c>
      <c r="K773" s="527">
        <v>1488140</v>
      </c>
      <c r="L773" s="336">
        <f t="shared" si="267"/>
        <v>15016691</v>
      </c>
      <c r="M773" s="316">
        <f t="shared" si="266"/>
        <v>15016692</v>
      </c>
    </row>
    <row r="774" spans="1:13" s="248" customFormat="1" x14ac:dyDescent="0.25">
      <c r="A774" s="264">
        <v>45255</v>
      </c>
      <c r="B774" s="433">
        <v>45253</v>
      </c>
      <c r="C774" s="328" t="s">
        <v>7211</v>
      </c>
      <c r="D774" s="263" t="s">
        <v>376</v>
      </c>
      <c r="E774" s="265" t="s">
        <v>377</v>
      </c>
      <c r="F774" s="262" t="s">
        <v>4316</v>
      </c>
      <c r="G774" s="247" t="s">
        <v>7225</v>
      </c>
      <c r="H774" s="316">
        <v>33069600</v>
      </c>
      <c r="I774" s="317">
        <v>5621832</v>
      </c>
      <c r="J774" s="527">
        <v>24727718</v>
      </c>
      <c r="K774" s="527">
        <v>2720049</v>
      </c>
      <c r="L774" s="336">
        <f t="shared" si="267"/>
        <v>27447767</v>
      </c>
      <c r="M774" s="316">
        <f t="shared" si="266"/>
        <v>27447768</v>
      </c>
    </row>
    <row r="775" spans="1:13" s="248" customFormat="1" x14ac:dyDescent="0.25">
      <c r="A775" s="264">
        <v>45255</v>
      </c>
      <c r="B775" s="433">
        <v>45254</v>
      </c>
      <c r="C775" s="328" t="s">
        <v>7212</v>
      </c>
      <c r="D775" s="263" t="s">
        <v>376</v>
      </c>
      <c r="E775" s="265" t="s">
        <v>377</v>
      </c>
      <c r="F775" s="262" t="s">
        <v>4316</v>
      </c>
      <c r="G775" s="247" t="s">
        <v>7226</v>
      </c>
      <c r="H775" s="316">
        <v>4200000</v>
      </c>
      <c r="I775" s="317">
        <v>714000</v>
      </c>
      <c r="J775" s="527">
        <v>3140540</v>
      </c>
      <c r="K775" s="527">
        <v>345459</v>
      </c>
      <c r="L775" s="336">
        <f t="shared" si="267"/>
        <v>3485999</v>
      </c>
      <c r="M775" s="316">
        <f t="shared" si="266"/>
        <v>3486000</v>
      </c>
    </row>
    <row r="776" spans="1:13" s="248" customFormat="1" x14ac:dyDescent="0.25">
      <c r="A776" s="264">
        <v>45255</v>
      </c>
      <c r="B776" s="433">
        <v>45254</v>
      </c>
      <c r="C776" s="328" t="s">
        <v>7213</v>
      </c>
      <c r="D776" s="263" t="s">
        <v>376</v>
      </c>
      <c r="E776" s="265" t="s">
        <v>377</v>
      </c>
      <c r="F776" s="262" t="s">
        <v>4316</v>
      </c>
      <c r="G776" s="247" t="s">
        <v>7227</v>
      </c>
      <c r="H776" s="316">
        <v>2100000</v>
      </c>
      <c r="I776" s="317">
        <v>357000</v>
      </c>
      <c r="J776" s="527">
        <v>1570270</v>
      </c>
      <c r="K776" s="527">
        <v>172729</v>
      </c>
      <c r="L776" s="336">
        <f t="shared" si="267"/>
        <v>1742999</v>
      </c>
      <c r="M776" s="316">
        <f t="shared" si="266"/>
        <v>1743000</v>
      </c>
    </row>
    <row r="777" spans="1:13" s="248" customFormat="1" x14ac:dyDescent="0.25">
      <c r="A777" s="264">
        <v>45258</v>
      </c>
      <c r="B777" s="433">
        <v>45255</v>
      </c>
      <c r="C777" s="328" t="s">
        <v>7251</v>
      </c>
      <c r="D777" s="263" t="s">
        <v>376</v>
      </c>
      <c r="E777" s="265" t="s">
        <v>377</v>
      </c>
      <c r="F777" s="262" t="s">
        <v>4316</v>
      </c>
      <c r="G777" s="247" t="s">
        <v>7228</v>
      </c>
      <c r="H777" s="316">
        <v>19416000</v>
      </c>
      <c r="I777" s="317">
        <v>3300720</v>
      </c>
      <c r="J777" s="527">
        <v>14518270</v>
      </c>
      <c r="K777" s="527">
        <v>1597009</v>
      </c>
      <c r="L777" s="336">
        <f t="shared" ref="L777" si="268">SUM(J777:K777)</f>
        <v>16115279</v>
      </c>
      <c r="M777" s="316">
        <f t="shared" ref="M777" si="269">H777-I777</f>
        <v>16115280</v>
      </c>
    </row>
    <row r="778" spans="1:13" s="248" customFormat="1" x14ac:dyDescent="0.25">
      <c r="A778" s="264">
        <v>45258</v>
      </c>
      <c r="B778" s="433">
        <v>45257</v>
      </c>
      <c r="C778" s="328" t="s">
        <v>7252</v>
      </c>
      <c r="D778" s="263" t="s">
        <v>376</v>
      </c>
      <c r="E778" s="265" t="s">
        <v>377</v>
      </c>
      <c r="F778" s="262" t="s">
        <v>4316</v>
      </c>
      <c r="G778" s="247" t="s">
        <v>7229</v>
      </c>
      <c r="H778" s="316">
        <v>23615600</v>
      </c>
      <c r="I778" s="317">
        <v>4014652</v>
      </c>
      <c r="J778" s="527">
        <v>17658511</v>
      </c>
      <c r="K778" s="527">
        <v>1942436</v>
      </c>
      <c r="L778" s="336">
        <f t="shared" ref="L778:L781" si="270">SUM(J778:K778)</f>
        <v>19600947</v>
      </c>
      <c r="M778" s="316">
        <f t="shared" ref="M778:M781" si="271">H778-I778</f>
        <v>19600948</v>
      </c>
    </row>
    <row r="779" spans="1:13" s="248" customFormat="1" x14ac:dyDescent="0.25">
      <c r="A779" s="264">
        <v>45258</v>
      </c>
      <c r="B779" s="433">
        <v>45257</v>
      </c>
      <c r="C779" s="328" t="s">
        <v>7253</v>
      </c>
      <c r="D779" s="263" t="s">
        <v>376</v>
      </c>
      <c r="E779" s="265" t="s">
        <v>377</v>
      </c>
      <c r="F779" s="262" t="s">
        <v>4316</v>
      </c>
      <c r="G779" s="247" t="s">
        <v>7230</v>
      </c>
      <c r="H779" s="316">
        <v>78948000</v>
      </c>
      <c r="I779" s="317">
        <v>13421160</v>
      </c>
      <c r="J779" s="527">
        <v>59033189</v>
      </c>
      <c r="K779" s="527">
        <v>6493650</v>
      </c>
      <c r="L779" s="336">
        <f t="shared" si="270"/>
        <v>65526839</v>
      </c>
      <c r="M779" s="316">
        <f t="shared" si="271"/>
        <v>65526840</v>
      </c>
    </row>
    <row r="780" spans="1:13" s="248" customFormat="1" x14ac:dyDescent="0.25">
      <c r="A780" s="264">
        <v>45258</v>
      </c>
      <c r="B780" s="433">
        <v>45257</v>
      </c>
      <c r="C780" s="328" t="s">
        <v>7254</v>
      </c>
      <c r="D780" s="263" t="s">
        <v>376</v>
      </c>
      <c r="E780" s="265" t="s">
        <v>377</v>
      </c>
      <c r="F780" s="262" t="s">
        <v>4316</v>
      </c>
      <c r="G780" s="247" t="s">
        <v>7231</v>
      </c>
      <c r="H780" s="316">
        <v>10800000</v>
      </c>
      <c r="I780" s="317">
        <v>1836000</v>
      </c>
      <c r="J780" s="527">
        <v>8075675</v>
      </c>
      <c r="K780" s="527">
        <v>888324</v>
      </c>
      <c r="L780" s="336">
        <f t="shared" si="270"/>
        <v>8963999</v>
      </c>
      <c r="M780" s="316">
        <f t="shared" si="271"/>
        <v>8964000</v>
      </c>
    </row>
    <row r="781" spans="1:13" s="248" customFormat="1" x14ac:dyDescent="0.25">
      <c r="A781" s="264">
        <v>45260</v>
      </c>
      <c r="B781" s="433">
        <v>45258</v>
      </c>
      <c r="C781" s="328" t="s">
        <v>7255</v>
      </c>
      <c r="D781" s="263" t="s">
        <v>376</v>
      </c>
      <c r="E781" s="265" t="s">
        <v>377</v>
      </c>
      <c r="F781" s="262" t="s">
        <v>4316</v>
      </c>
      <c r="G781" s="247" t="s">
        <v>7232</v>
      </c>
      <c r="H781" s="316">
        <v>4284000</v>
      </c>
      <c r="I781" s="317">
        <v>728280.00000000012</v>
      </c>
      <c r="J781" s="527">
        <v>3203351</v>
      </c>
      <c r="K781" s="527">
        <v>352368</v>
      </c>
      <c r="L781" s="336">
        <f t="shared" si="270"/>
        <v>3555719</v>
      </c>
      <c r="M781" s="316">
        <f t="shared" si="271"/>
        <v>3555720</v>
      </c>
    </row>
    <row r="782" spans="1:13" ht="18" x14ac:dyDescent="0.25">
      <c r="A782" s="435" t="s">
        <v>38</v>
      </c>
      <c r="B782" s="434"/>
      <c r="C782" s="437"/>
      <c r="D782" s="436"/>
      <c r="E782" s="441"/>
      <c r="F782" s="441"/>
      <c r="G782" s="438"/>
      <c r="H782" s="336">
        <f>SUM(H700:H781)</f>
        <v>1865953687.375</v>
      </c>
      <c r="I782" s="335"/>
      <c r="J782" s="528">
        <f>SUM(J700:J781)</f>
        <v>1477919736</v>
      </c>
      <c r="K782" s="528">
        <f>SUM(K700:K781)</f>
        <v>162571138</v>
      </c>
      <c r="L782" s="337">
        <f>SUM(L700:L781)</f>
        <v>1640490874</v>
      </c>
      <c r="M782" s="337">
        <f>SUM(M700:M781)</f>
        <v>1634259275.0399001</v>
      </c>
    </row>
    <row r="783" spans="1:13" ht="18" x14ac:dyDescent="0.25">
      <c r="A783" s="432" t="s">
        <v>109</v>
      </c>
      <c r="B783" s="432"/>
      <c r="C783" s="344"/>
      <c r="D783" s="343"/>
      <c r="E783" s="440"/>
      <c r="F783" s="440"/>
      <c r="G783" s="343"/>
      <c r="H783" s="345"/>
      <c r="I783" s="345"/>
      <c r="J783" s="526"/>
      <c r="K783" s="526"/>
      <c r="L783" s="612"/>
      <c r="M783" s="346"/>
    </row>
    <row r="784" spans="1:13" s="248" customFormat="1" x14ac:dyDescent="0.25">
      <c r="A784" s="264"/>
      <c r="B784" s="433"/>
      <c r="C784" s="328"/>
      <c r="D784" s="263" t="s">
        <v>298</v>
      </c>
      <c r="E784" s="265" t="s">
        <v>374</v>
      </c>
      <c r="F784" s="262" t="s">
        <v>375</v>
      </c>
      <c r="G784" s="247"/>
      <c r="H784" s="316"/>
      <c r="I784" s="317"/>
      <c r="J784" s="527">
        <f>(H784-I784)/1.11</f>
        <v>0</v>
      </c>
      <c r="K784" s="527">
        <f>J784*11%</f>
        <v>0</v>
      </c>
      <c r="L784" s="336">
        <f>SUM(J784:K784)</f>
        <v>0</v>
      </c>
      <c r="M784" s="316">
        <f>H784-I784</f>
        <v>0</v>
      </c>
    </row>
    <row r="785" spans="1:13" s="248" customFormat="1" x14ac:dyDescent="0.25">
      <c r="A785" s="264"/>
      <c r="B785" s="433"/>
      <c r="C785" s="328"/>
      <c r="D785" s="263"/>
      <c r="E785" s="265"/>
      <c r="F785" s="262"/>
      <c r="G785" s="247"/>
      <c r="H785" s="316"/>
      <c r="I785" s="317"/>
      <c r="J785" s="527">
        <f t="shared" ref="J785" si="272">(H785-I785)/1.11</f>
        <v>0</v>
      </c>
      <c r="K785" s="527">
        <f t="shared" ref="K785" si="273">J785*11%</f>
        <v>0</v>
      </c>
      <c r="L785" s="336">
        <f t="shared" ref="L785" si="274">SUM(J785:K785)</f>
        <v>0</v>
      </c>
      <c r="M785" s="316">
        <f t="shared" ref="M785" si="275">H785-I785</f>
        <v>0</v>
      </c>
    </row>
    <row r="786" spans="1:13" s="248" customFormat="1" x14ac:dyDescent="0.25">
      <c r="A786" s="264"/>
      <c r="B786" s="433"/>
      <c r="C786" s="328"/>
      <c r="D786" s="263" t="s">
        <v>302</v>
      </c>
      <c r="E786" s="265" t="s">
        <v>370</v>
      </c>
      <c r="F786" s="522" t="s">
        <v>371</v>
      </c>
      <c r="G786" s="247"/>
      <c r="H786" s="316"/>
      <c r="I786" s="317"/>
      <c r="J786" s="527">
        <f t="shared" ref="J786:J817" si="276">(H786-I786)/1.11</f>
        <v>0</v>
      </c>
      <c r="K786" s="527">
        <f t="shared" ref="K786:K864" si="277">J786*11%</f>
        <v>0</v>
      </c>
      <c r="L786" s="336">
        <f t="shared" ref="L786:L864" si="278">SUM(J786:K786)</f>
        <v>0</v>
      </c>
      <c r="M786" s="316">
        <f t="shared" ref="M786:M864" si="279">H786-I786</f>
        <v>0</v>
      </c>
    </row>
    <row r="787" spans="1:13" s="248" customFormat="1" x14ac:dyDescent="0.25">
      <c r="A787" s="264"/>
      <c r="B787" s="433"/>
      <c r="C787" s="328"/>
      <c r="D787" s="263"/>
      <c r="E787" s="262"/>
      <c r="F787" s="262"/>
      <c r="G787" s="247"/>
      <c r="H787" s="316"/>
      <c r="I787" s="317"/>
      <c r="J787" s="527">
        <f t="shared" si="276"/>
        <v>0</v>
      </c>
      <c r="K787" s="527">
        <f>J787*11%</f>
        <v>0</v>
      </c>
      <c r="L787" s="336">
        <f>SUM(J787:K787)</f>
        <v>0</v>
      </c>
      <c r="M787" s="316">
        <f t="shared" si="279"/>
        <v>0</v>
      </c>
    </row>
    <row r="788" spans="1:13" s="248" customFormat="1" x14ac:dyDescent="0.25">
      <c r="A788" s="264">
        <v>45266</v>
      </c>
      <c r="B788" s="433">
        <v>45261</v>
      </c>
      <c r="C788" s="328" t="s">
        <v>7544</v>
      </c>
      <c r="D788" s="524" t="s">
        <v>297</v>
      </c>
      <c r="E788" s="523" t="s">
        <v>369</v>
      </c>
      <c r="F788" s="262" t="s">
        <v>395</v>
      </c>
      <c r="G788" s="247"/>
      <c r="H788" s="316">
        <v>10607894.75</v>
      </c>
      <c r="I788" s="317">
        <v>47196</v>
      </c>
      <c r="J788" s="527">
        <f t="shared" ref="J788:J815" si="280">(H788-I788)/1.11</f>
        <v>9514143.0180180166</v>
      </c>
      <c r="K788" s="527">
        <f t="shared" ref="K788:K815" si="281">J788*11%</f>
        <v>1046555.7319819818</v>
      </c>
      <c r="L788" s="336">
        <f t="shared" ref="L788:L815" si="282">SUM(J788:K788)</f>
        <v>10560698.749999998</v>
      </c>
      <c r="M788" s="316">
        <f t="shared" ref="M788:M815" si="283">H788-I788</f>
        <v>10560698.75</v>
      </c>
    </row>
    <row r="789" spans="1:13" s="248" customFormat="1" x14ac:dyDescent="0.25">
      <c r="A789" s="264">
        <v>45266</v>
      </c>
      <c r="B789" s="433">
        <v>45262</v>
      </c>
      <c r="C789" s="328" t="s">
        <v>7545</v>
      </c>
      <c r="D789" s="524" t="s">
        <v>297</v>
      </c>
      <c r="E789" s="523" t="s">
        <v>369</v>
      </c>
      <c r="F789" s="262" t="s">
        <v>395</v>
      </c>
      <c r="G789" s="247"/>
      <c r="H789" s="316">
        <v>10737755</v>
      </c>
      <c r="I789" s="317">
        <v>0</v>
      </c>
      <c r="J789" s="527">
        <f t="shared" si="280"/>
        <v>9673653.1531531531</v>
      </c>
      <c r="K789" s="527">
        <f t="shared" si="281"/>
        <v>1064101.8468468469</v>
      </c>
      <c r="L789" s="336">
        <f t="shared" si="282"/>
        <v>10737755</v>
      </c>
      <c r="M789" s="316">
        <f t="shared" si="283"/>
        <v>10737755</v>
      </c>
    </row>
    <row r="790" spans="1:13" s="248" customFormat="1" x14ac:dyDescent="0.25">
      <c r="A790" s="264">
        <v>45268</v>
      </c>
      <c r="B790" s="433">
        <v>45264</v>
      </c>
      <c r="C790" s="328" t="s">
        <v>7546</v>
      </c>
      <c r="D790" s="524" t="s">
        <v>297</v>
      </c>
      <c r="E790" s="523" t="s">
        <v>369</v>
      </c>
      <c r="F790" s="262" t="s">
        <v>395</v>
      </c>
      <c r="G790" s="247"/>
      <c r="H790" s="316">
        <v>1602982.5</v>
      </c>
      <c r="I790" s="317">
        <v>131670</v>
      </c>
      <c r="J790" s="527">
        <f t="shared" si="280"/>
        <v>1325506.7567567567</v>
      </c>
      <c r="K790" s="527">
        <f t="shared" si="281"/>
        <v>145805.74324324323</v>
      </c>
      <c r="L790" s="336">
        <f t="shared" si="282"/>
        <v>1471312.5</v>
      </c>
      <c r="M790" s="316">
        <f t="shared" si="283"/>
        <v>1471312.5</v>
      </c>
    </row>
    <row r="791" spans="1:13" s="248" customFormat="1" x14ac:dyDescent="0.25">
      <c r="A791" s="264">
        <v>45268</v>
      </c>
      <c r="B791" s="433">
        <v>45265</v>
      </c>
      <c r="C791" s="328" t="s">
        <v>7547</v>
      </c>
      <c r="D791" s="524" t="s">
        <v>297</v>
      </c>
      <c r="E791" s="523" t="s">
        <v>369</v>
      </c>
      <c r="F791" s="262" t="s">
        <v>395</v>
      </c>
      <c r="G791" s="247"/>
      <c r="H791" s="316">
        <v>10413900</v>
      </c>
      <c r="I791" s="317">
        <v>0</v>
      </c>
      <c r="J791" s="527">
        <f t="shared" si="280"/>
        <v>9381891.8918918911</v>
      </c>
      <c r="K791" s="527">
        <f t="shared" si="281"/>
        <v>1032008.108108108</v>
      </c>
      <c r="L791" s="336">
        <f t="shared" si="282"/>
        <v>10413900</v>
      </c>
      <c r="M791" s="316">
        <f t="shared" si="283"/>
        <v>10413900</v>
      </c>
    </row>
    <row r="792" spans="1:13" s="248" customFormat="1" x14ac:dyDescent="0.25">
      <c r="A792" s="264">
        <v>45271</v>
      </c>
      <c r="B792" s="433">
        <v>45266</v>
      </c>
      <c r="C792" s="328" t="s">
        <v>7548</v>
      </c>
      <c r="D792" s="524" t="s">
        <v>297</v>
      </c>
      <c r="E792" s="523" t="s">
        <v>369</v>
      </c>
      <c r="F792" s="262" t="s">
        <v>395</v>
      </c>
      <c r="G792" s="247"/>
      <c r="H792" s="316">
        <v>73633140</v>
      </c>
      <c r="I792" s="317">
        <v>2615445</v>
      </c>
      <c r="J792" s="527">
        <f t="shared" si="280"/>
        <v>63979905.405405402</v>
      </c>
      <c r="K792" s="527">
        <f t="shared" si="281"/>
        <v>7037789.5945945941</v>
      </c>
      <c r="L792" s="336">
        <f t="shared" si="282"/>
        <v>71017695</v>
      </c>
      <c r="M792" s="316">
        <f t="shared" si="283"/>
        <v>71017695</v>
      </c>
    </row>
    <row r="793" spans="1:13" s="248" customFormat="1" x14ac:dyDescent="0.25">
      <c r="A793" s="264">
        <v>45273</v>
      </c>
      <c r="B793" s="433">
        <v>45266</v>
      </c>
      <c r="C793" s="328" t="s">
        <v>7549</v>
      </c>
      <c r="D793" s="524" t="s">
        <v>297</v>
      </c>
      <c r="E793" s="523" t="s">
        <v>369</v>
      </c>
      <c r="F793" s="262" t="s">
        <v>395</v>
      </c>
      <c r="G793" s="247"/>
      <c r="H793" s="316">
        <v>45133200</v>
      </c>
      <c r="I793" s="317">
        <v>5662421</v>
      </c>
      <c r="J793" s="527">
        <f t="shared" si="280"/>
        <v>35559260.360360354</v>
      </c>
      <c r="K793" s="527">
        <f t="shared" si="281"/>
        <v>3911518.6396396388</v>
      </c>
      <c r="L793" s="336">
        <f t="shared" si="282"/>
        <v>39470778.999999993</v>
      </c>
      <c r="M793" s="316">
        <f t="shared" si="283"/>
        <v>39470779</v>
      </c>
    </row>
    <row r="794" spans="1:13" s="248" customFormat="1" x14ac:dyDescent="0.25">
      <c r="A794" s="264">
        <v>45273</v>
      </c>
      <c r="B794" s="433">
        <v>45266</v>
      </c>
      <c r="C794" s="328" t="s">
        <v>7550</v>
      </c>
      <c r="D794" s="524" t="s">
        <v>297</v>
      </c>
      <c r="E794" s="523" t="s">
        <v>369</v>
      </c>
      <c r="F794" s="262" t="s">
        <v>395</v>
      </c>
      <c r="G794" s="247"/>
      <c r="H794" s="316">
        <v>20369160</v>
      </c>
      <c r="I794" s="317">
        <v>263340</v>
      </c>
      <c r="J794" s="527">
        <f t="shared" si="280"/>
        <v>18113351.351351351</v>
      </c>
      <c r="K794" s="527">
        <f t="shared" si="281"/>
        <v>1992468.6486486485</v>
      </c>
      <c r="L794" s="336">
        <f t="shared" si="282"/>
        <v>20105820</v>
      </c>
      <c r="M794" s="316">
        <f t="shared" si="283"/>
        <v>20105820</v>
      </c>
    </row>
    <row r="795" spans="1:13" s="248" customFormat="1" x14ac:dyDescent="0.25">
      <c r="A795" s="264">
        <v>45271</v>
      </c>
      <c r="B795" s="433">
        <v>45266</v>
      </c>
      <c r="C795" s="328" t="s">
        <v>7551</v>
      </c>
      <c r="D795" s="524" t="s">
        <v>297</v>
      </c>
      <c r="E795" s="523" t="s">
        <v>369</v>
      </c>
      <c r="F795" s="262" t="s">
        <v>395</v>
      </c>
      <c r="G795" s="247"/>
      <c r="H795" s="316">
        <v>20246100</v>
      </c>
      <c r="I795" s="317">
        <v>367080</v>
      </c>
      <c r="J795" s="527">
        <f t="shared" si="280"/>
        <v>17909027.027027026</v>
      </c>
      <c r="K795" s="527">
        <f t="shared" si="281"/>
        <v>1969992.9729729728</v>
      </c>
      <c r="L795" s="336">
        <f t="shared" si="282"/>
        <v>19879020</v>
      </c>
      <c r="M795" s="316">
        <f t="shared" si="283"/>
        <v>19879020</v>
      </c>
    </row>
    <row r="796" spans="1:13" s="248" customFormat="1" x14ac:dyDescent="0.25">
      <c r="A796" s="264">
        <v>45273</v>
      </c>
      <c r="B796" s="433">
        <v>45267</v>
      </c>
      <c r="C796" s="328" t="s">
        <v>7552</v>
      </c>
      <c r="D796" s="524" t="s">
        <v>297</v>
      </c>
      <c r="E796" s="523" t="s">
        <v>369</v>
      </c>
      <c r="F796" s="262" t="s">
        <v>395</v>
      </c>
      <c r="G796" s="247"/>
      <c r="H796" s="316">
        <v>12848850</v>
      </c>
      <c r="I796" s="317">
        <v>0</v>
      </c>
      <c r="J796" s="527">
        <f t="shared" si="280"/>
        <v>11575540.540540539</v>
      </c>
      <c r="K796" s="527">
        <f t="shared" si="281"/>
        <v>1273309.4594594592</v>
      </c>
      <c r="L796" s="336">
        <f t="shared" si="282"/>
        <v>12848849.999999998</v>
      </c>
      <c r="M796" s="316">
        <f t="shared" si="283"/>
        <v>12848850</v>
      </c>
    </row>
    <row r="797" spans="1:13" s="248" customFormat="1" x14ac:dyDescent="0.25">
      <c r="A797" s="264">
        <v>45273</v>
      </c>
      <c r="B797" s="433">
        <v>45267</v>
      </c>
      <c r="C797" s="328" t="s">
        <v>7553</v>
      </c>
      <c r="D797" s="524" t="s">
        <v>297</v>
      </c>
      <c r="E797" s="523" t="s">
        <v>369</v>
      </c>
      <c r="F797" s="262" t="s">
        <v>395</v>
      </c>
      <c r="G797" s="247"/>
      <c r="H797" s="316">
        <v>17745210</v>
      </c>
      <c r="I797" s="317">
        <v>395010</v>
      </c>
      <c r="J797" s="527">
        <f t="shared" si="280"/>
        <v>15630810.81081081</v>
      </c>
      <c r="K797" s="527">
        <f t="shared" si="281"/>
        <v>1719389.1891891891</v>
      </c>
      <c r="L797" s="336">
        <f t="shared" si="282"/>
        <v>17350200</v>
      </c>
      <c r="M797" s="316">
        <f t="shared" si="283"/>
        <v>17350200</v>
      </c>
    </row>
    <row r="798" spans="1:13" s="248" customFormat="1" x14ac:dyDescent="0.25">
      <c r="A798" s="264">
        <v>45273</v>
      </c>
      <c r="B798" s="433">
        <v>45268</v>
      </c>
      <c r="C798" s="328" t="s">
        <v>7554</v>
      </c>
      <c r="D798" s="524" t="s">
        <v>297</v>
      </c>
      <c r="E798" s="523" t="s">
        <v>369</v>
      </c>
      <c r="F798" s="262" t="s">
        <v>395</v>
      </c>
      <c r="G798" s="247"/>
      <c r="H798" s="316">
        <v>15554350</v>
      </c>
      <c r="I798" s="317">
        <v>0</v>
      </c>
      <c r="J798" s="527">
        <f t="shared" si="280"/>
        <v>14012927.927927926</v>
      </c>
      <c r="K798" s="527">
        <f t="shared" si="281"/>
        <v>1541422.072072072</v>
      </c>
      <c r="L798" s="336">
        <f t="shared" si="282"/>
        <v>15554349.999999998</v>
      </c>
      <c r="M798" s="316">
        <f t="shared" si="283"/>
        <v>15554350</v>
      </c>
    </row>
    <row r="799" spans="1:13" s="248" customFormat="1" x14ac:dyDescent="0.25">
      <c r="A799" s="264">
        <v>45273</v>
      </c>
      <c r="B799" s="433">
        <v>45268</v>
      </c>
      <c r="C799" s="328" t="s">
        <v>7555</v>
      </c>
      <c r="D799" s="524" t="s">
        <v>297</v>
      </c>
      <c r="E799" s="523" t="s">
        <v>369</v>
      </c>
      <c r="F799" s="262" t="s">
        <v>395</v>
      </c>
      <c r="G799" s="247"/>
      <c r="H799" s="316">
        <v>12969337.5</v>
      </c>
      <c r="I799" s="317">
        <v>403987.5</v>
      </c>
      <c r="J799" s="527">
        <f t="shared" si="280"/>
        <v>11320135.135135135</v>
      </c>
      <c r="K799" s="527">
        <f t="shared" si="281"/>
        <v>1245214.8648648649</v>
      </c>
      <c r="L799" s="336">
        <f t="shared" si="282"/>
        <v>12565350</v>
      </c>
      <c r="M799" s="316">
        <f t="shared" si="283"/>
        <v>12565350</v>
      </c>
    </row>
    <row r="800" spans="1:13" s="248" customFormat="1" x14ac:dyDescent="0.25">
      <c r="A800" s="264">
        <v>45273</v>
      </c>
      <c r="B800" s="433">
        <v>45268</v>
      </c>
      <c r="C800" s="328" t="s">
        <v>7556</v>
      </c>
      <c r="D800" s="524" t="s">
        <v>297</v>
      </c>
      <c r="E800" s="523" t="s">
        <v>369</v>
      </c>
      <c r="F800" s="262" t="s">
        <v>395</v>
      </c>
      <c r="G800" s="247"/>
      <c r="H800" s="316">
        <v>16635053.75</v>
      </c>
      <c r="I800" s="317">
        <v>458850</v>
      </c>
      <c r="J800" s="527">
        <f t="shared" si="280"/>
        <v>14573156.53153153</v>
      </c>
      <c r="K800" s="527">
        <f t="shared" si="281"/>
        <v>1603047.2184684682</v>
      </c>
      <c r="L800" s="336">
        <f t="shared" si="282"/>
        <v>16176203.749999998</v>
      </c>
      <c r="M800" s="316">
        <f t="shared" si="283"/>
        <v>16176203.75</v>
      </c>
    </row>
    <row r="801" spans="1:13" s="248" customFormat="1" x14ac:dyDescent="0.25">
      <c r="A801" s="264">
        <v>45273</v>
      </c>
      <c r="B801" s="433">
        <v>45268</v>
      </c>
      <c r="C801" s="328" t="s">
        <v>7557</v>
      </c>
      <c r="D801" s="524" t="s">
        <v>297</v>
      </c>
      <c r="E801" s="523" t="s">
        <v>369</v>
      </c>
      <c r="F801" s="262" t="s">
        <v>395</v>
      </c>
      <c r="G801" s="247"/>
      <c r="H801" s="316">
        <v>2214450</v>
      </c>
      <c r="I801" s="317">
        <v>0</v>
      </c>
      <c r="J801" s="527">
        <f t="shared" si="280"/>
        <v>1994999.9999999998</v>
      </c>
      <c r="K801" s="527">
        <f t="shared" si="281"/>
        <v>219449.99999999997</v>
      </c>
      <c r="L801" s="336">
        <f t="shared" si="282"/>
        <v>2214449.9999999995</v>
      </c>
      <c r="M801" s="316">
        <f t="shared" si="283"/>
        <v>2214450</v>
      </c>
    </row>
    <row r="802" spans="1:13" s="248" customFormat="1" x14ac:dyDescent="0.25">
      <c r="A802" s="264">
        <v>45275</v>
      </c>
      <c r="B802" s="433">
        <v>45269</v>
      </c>
      <c r="C802" s="328" t="s">
        <v>7558</v>
      </c>
      <c r="D802" s="524" t="s">
        <v>297</v>
      </c>
      <c r="E802" s="523" t="s">
        <v>369</v>
      </c>
      <c r="F802" s="262" t="s">
        <v>395</v>
      </c>
      <c r="G802" s="247"/>
      <c r="H802" s="316">
        <v>45213000</v>
      </c>
      <c r="I802" s="317">
        <v>1605975</v>
      </c>
      <c r="J802" s="527">
        <f t="shared" si="280"/>
        <v>39285608.108108103</v>
      </c>
      <c r="K802" s="527">
        <f t="shared" si="281"/>
        <v>4321416.8918918911</v>
      </c>
      <c r="L802" s="336">
        <f t="shared" si="282"/>
        <v>43607024.999999993</v>
      </c>
      <c r="M802" s="316">
        <f t="shared" si="283"/>
        <v>43607025</v>
      </c>
    </row>
    <row r="803" spans="1:13" s="248" customFormat="1" x14ac:dyDescent="0.25">
      <c r="A803" s="264">
        <v>45275</v>
      </c>
      <c r="B803" s="433">
        <v>45271</v>
      </c>
      <c r="C803" s="328" t="s">
        <v>7559</v>
      </c>
      <c r="D803" s="524" t="s">
        <v>297</v>
      </c>
      <c r="E803" s="523" t="s">
        <v>369</v>
      </c>
      <c r="F803" s="262" t="s">
        <v>395</v>
      </c>
      <c r="G803" s="247"/>
      <c r="H803" s="316">
        <v>55756162.875</v>
      </c>
      <c r="I803" s="317">
        <v>0</v>
      </c>
      <c r="J803" s="527">
        <f t="shared" si="280"/>
        <v>50230777.364864863</v>
      </c>
      <c r="K803" s="527">
        <f t="shared" si="281"/>
        <v>5525385.5101351347</v>
      </c>
      <c r="L803" s="336">
        <f t="shared" si="282"/>
        <v>55756162.875</v>
      </c>
      <c r="M803" s="316">
        <f t="shared" si="283"/>
        <v>55756162.875</v>
      </c>
    </row>
    <row r="804" spans="1:13" s="248" customFormat="1" x14ac:dyDescent="0.25">
      <c r="A804" s="264">
        <v>45275</v>
      </c>
      <c r="B804" s="433">
        <v>45271</v>
      </c>
      <c r="C804" s="328" t="s">
        <v>7560</v>
      </c>
      <c r="D804" s="524" t="s">
        <v>297</v>
      </c>
      <c r="E804" s="523" t="s">
        <v>369</v>
      </c>
      <c r="F804" s="262" t="s">
        <v>395</v>
      </c>
      <c r="G804" s="247"/>
      <c r="H804" s="316">
        <v>31285590</v>
      </c>
      <c r="I804" s="317">
        <v>0</v>
      </c>
      <c r="J804" s="527">
        <f t="shared" si="280"/>
        <v>28185216.216216214</v>
      </c>
      <c r="K804" s="527">
        <f t="shared" si="281"/>
        <v>3100373.7837837837</v>
      </c>
      <c r="L804" s="336">
        <f t="shared" si="282"/>
        <v>31285589.999999996</v>
      </c>
      <c r="M804" s="316">
        <f t="shared" si="283"/>
        <v>31285590</v>
      </c>
    </row>
    <row r="805" spans="1:13" s="248" customFormat="1" x14ac:dyDescent="0.25">
      <c r="A805" s="264">
        <v>45275</v>
      </c>
      <c r="B805" s="433">
        <v>45271</v>
      </c>
      <c r="C805" s="328" t="s">
        <v>7561</v>
      </c>
      <c r="D805" s="524" t="s">
        <v>297</v>
      </c>
      <c r="E805" s="523" t="s">
        <v>369</v>
      </c>
      <c r="F805" s="262" t="s">
        <v>395</v>
      </c>
      <c r="G805" s="247"/>
      <c r="H805" s="316">
        <v>3631232.5</v>
      </c>
      <c r="I805" s="317">
        <v>0</v>
      </c>
      <c r="J805" s="527">
        <f t="shared" si="280"/>
        <v>3271380.6306306305</v>
      </c>
      <c r="K805" s="527">
        <f t="shared" si="281"/>
        <v>359851.86936936935</v>
      </c>
      <c r="L805" s="336">
        <f t="shared" si="282"/>
        <v>3631232.5</v>
      </c>
      <c r="M805" s="316">
        <f t="shared" si="283"/>
        <v>3631232.5</v>
      </c>
    </row>
    <row r="806" spans="1:13" s="248" customFormat="1" x14ac:dyDescent="0.25">
      <c r="A806" s="264">
        <v>45275</v>
      </c>
      <c r="B806" s="433">
        <v>45271</v>
      </c>
      <c r="C806" s="328" t="s">
        <v>7562</v>
      </c>
      <c r="D806" s="524" t="s">
        <v>297</v>
      </c>
      <c r="E806" s="523" t="s">
        <v>369</v>
      </c>
      <c r="F806" s="262" t="s">
        <v>395</v>
      </c>
      <c r="G806" s="247"/>
      <c r="H806" s="316">
        <v>16981125</v>
      </c>
      <c r="I806" s="317">
        <v>636405</v>
      </c>
      <c r="J806" s="527">
        <f t="shared" si="280"/>
        <v>14724972.972972972</v>
      </c>
      <c r="K806" s="527">
        <f t="shared" si="281"/>
        <v>1619747.027027027</v>
      </c>
      <c r="L806" s="336">
        <f t="shared" si="282"/>
        <v>16344720</v>
      </c>
      <c r="M806" s="316">
        <f t="shared" si="283"/>
        <v>16344720</v>
      </c>
    </row>
    <row r="807" spans="1:13" s="248" customFormat="1" x14ac:dyDescent="0.25">
      <c r="A807" s="264">
        <v>45275</v>
      </c>
      <c r="B807" s="433">
        <v>45271</v>
      </c>
      <c r="C807" s="328" t="s">
        <v>7563</v>
      </c>
      <c r="D807" s="524" t="s">
        <v>297</v>
      </c>
      <c r="E807" s="523" t="s">
        <v>369</v>
      </c>
      <c r="F807" s="262" t="s">
        <v>395</v>
      </c>
      <c r="G807" s="247"/>
      <c r="H807" s="316">
        <v>9579150</v>
      </c>
      <c r="I807" s="317">
        <v>0</v>
      </c>
      <c r="J807" s="527">
        <f t="shared" si="280"/>
        <v>8629864.8648648635</v>
      </c>
      <c r="K807" s="527">
        <f t="shared" si="281"/>
        <v>949285.13513513503</v>
      </c>
      <c r="L807" s="336">
        <f t="shared" si="282"/>
        <v>9579149.9999999981</v>
      </c>
      <c r="M807" s="316">
        <f t="shared" si="283"/>
        <v>9579150</v>
      </c>
    </row>
    <row r="808" spans="1:13" s="248" customFormat="1" x14ac:dyDescent="0.25">
      <c r="A808" s="264">
        <v>45275</v>
      </c>
      <c r="B808" s="433">
        <v>45271</v>
      </c>
      <c r="C808" s="328" t="s">
        <v>7564</v>
      </c>
      <c r="D808" s="524" t="s">
        <v>297</v>
      </c>
      <c r="E808" s="523" t="s">
        <v>369</v>
      </c>
      <c r="F808" s="262" t="s">
        <v>395</v>
      </c>
      <c r="G808" s="247"/>
      <c r="H808" s="316">
        <v>26053125</v>
      </c>
      <c r="I808" s="317">
        <v>780045</v>
      </c>
      <c r="J808" s="527">
        <f t="shared" si="280"/>
        <v>22768540.540540539</v>
      </c>
      <c r="K808" s="527">
        <f t="shared" si="281"/>
        <v>2504539.4594594594</v>
      </c>
      <c r="L808" s="336">
        <f t="shared" si="282"/>
        <v>25273080</v>
      </c>
      <c r="M808" s="316">
        <f t="shared" si="283"/>
        <v>25273080</v>
      </c>
    </row>
    <row r="809" spans="1:13" s="248" customFormat="1" x14ac:dyDescent="0.25">
      <c r="A809" s="264">
        <v>45275</v>
      </c>
      <c r="B809" s="433">
        <v>45272</v>
      </c>
      <c r="C809" s="328" t="s">
        <v>7565</v>
      </c>
      <c r="D809" s="524" t="s">
        <v>297</v>
      </c>
      <c r="E809" s="523" t="s">
        <v>369</v>
      </c>
      <c r="F809" s="262" t="s">
        <v>395</v>
      </c>
      <c r="G809" s="247"/>
      <c r="H809" s="316">
        <v>13797420</v>
      </c>
      <c r="I809" s="317">
        <v>0</v>
      </c>
      <c r="J809" s="527">
        <f t="shared" si="280"/>
        <v>12430108.108108107</v>
      </c>
      <c r="K809" s="527">
        <f t="shared" si="281"/>
        <v>1367311.8918918918</v>
      </c>
      <c r="L809" s="336">
        <f t="shared" si="282"/>
        <v>13797419.999999998</v>
      </c>
      <c r="M809" s="316">
        <f t="shared" si="283"/>
        <v>13797420</v>
      </c>
    </row>
    <row r="810" spans="1:13" s="248" customFormat="1" x14ac:dyDescent="0.25">
      <c r="A810" s="264">
        <v>45276</v>
      </c>
      <c r="B810" s="433">
        <v>45273</v>
      </c>
      <c r="C810" s="328" t="s">
        <v>7566</v>
      </c>
      <c r="D810" s="524" t="s">
        <v>297</v>
      </c>
      <c r="E810" s="523" t="s">
        <v>369</v>
      </c>
      <c r="F810" s="262" t="s">
        <v>395</v>
      </c>
      <c r="G810" s="247"/>
      <c r="H810" s="316">
        <v>42337785</v>
      </c>
      <c r="I810" s="317">
        <v>0</v>
      </c>
      <c r="J810" s="527">
        <f t="shared" si="280"/>
        <v>38142148.648648642</v>
      </c>
      <c r="K810" s="527">
        <f t="shared" si="281"/>
        <v>4195636.3513513505</v>
      </c>
      <c r="L810" s="336">
        <f t="shared" si="282"/>
        <v>42337784.999999993</v>
      </c>
      <c r="M810" s="316">
        <f t="shared" si="283"/>
        <v>42337785</v>
      </c>
    </row>
    <row r="811" spans="1:13" s="248" customFormat="1" x14ac:dyDescent="0.25">
      <c r="A811" s="264">
        <v>45276</v>
      </c>
      <c r="B811" s="433">
        <v>45273</v>
      </c>
      <c r="C811" s="328" t="s">
        <v>7567</v>
      </c>
      <c r="D811" s="524" t="s">
        <v>297</v>
      </c>
      <c r="E811" s="523" t="s">
        <v>369</v>
      </c>
      <c r="F811" s="262" t="s">
        <v>395</v>
      </c>
      <c r="G811" s="247"/>
      <c r="H811" s="316">
        <v>10551897</v>
      </c>
      <c r="I811" s="317">
        <v>48222</v>
      </c>
      <c r="J811" s="527">
        <f t="shared" si="280"/>
        <v>9462770.2702702694</v>
      </c>
      <c r="K811" s="527">
        <f t="shared" si="281"/>
        <v>1040904.7297297296</v>
      </c>
      <c r="L811" s="336">
        <f t="shared" si="282"/>
        <v>10503674.999999998</v>
      </c>
      <c r="M811" s="316">
        <f t="shared" si="283"/>
        <v>10503675</v>
      </c>
    </row>
    <row r="812" spans="1:13" s="248" customFormat="1" x14ac:dyDescent="0.25">
      <c r="A812" s="264">
        <v>45276</v>
      </c>
      <c r="B812" s="433">
        <v>45273</v>
      </c>
      <c r="C812" s="328" t="s">
        <v>7568</v>
      </c>
      <c r="D812" s="524" t="s">
        <v>297</v>
      </c>
      <c r="E812" s="523" t="s">
        <v>369</v>
      </c>
      <c r="F812" s="262" t="s">
        <v>395</v>
      </c>
      <c r="G812" s="247"/>
      <c r="H812" s="316">
        <v>20703375</v>
      </c>
      <c r="I812" s="317">
        <v>688275</v>
      </c>
      <c r="J812" s="527">
        <f t="shared" si="280"/>
        <v>18031621.62162162</v>
      </c>
      <c r="K812" s="527">
        <f t="shared" si="281"/>
        <v>1983478.3783783782</v>
      </c>
      <c r="L812" s="336">
        <f t="shared" si="282"/>
        <v>20015100</v>
      </c>
      <c r="M812" s="316">
        <f t="shared" si="283"/>
        <v>20015100</v>
      </c>
    </row>
    <row r="813" spans="1:13" s="248" customFormat="1" x14ac:dyDescent="0.25">
      <c r="A813" s="264">
        <v>45278</v>
      </c>
      <c r="B813" s="433">
        <v>45274</v>
      </c>
      <c r="C813" s="328" t="s">
        <v>7569</v>
      </c>
      <c r="D813" s="524" t="s">
        <v>297</v>
      </c>
      <c r="E813" s="523" t="s">
        <v>369</v>
      </c>
      <c r="F813" s="262" t="s">
        <v>395</v>
      </c>
      <c r="G813" s="247"/>
      <c r="H813" s="316">
        <v>1288437.5</v>
      </c>
      <c r="I813" s="317">
        <v>0</v>
      </c>
      <c r="J813" s="527">
        <f t="shared" si="280"/>
        <v>1160754.5045045044</v>
      </c>
      <c r="K813" s="527">
        <f t="shared" si="281"/>
        <v>127682.99549549549</v>
      </c>
      <c r="L813" s="336">
        <f t="shared" si="282"/>
        <v>1288437.4999999998</v>
      </c>
      <c r="M813" s="316">
        <f t="shared" si="283"/>
        <v>1288437.5</v>
      </c>
    </row>
    <row r="814" spans="1:13" s="248" customFormat="1" x14ac:dyDescent="0.25">
      <c r="A814" s="264">
        <v>45280</v>
      </c>
      <c r="B814" s="433">
        <v>45276</v>
      </c>
      <c r="C814" s="328" t="s">
        <v>7570</v>
      </c>
      <c r="D814" s="524" t="s">
        <v>297</v>
      </c>
      <c r="E814" s="523" t="s">
        <v>369</v>
      </c>
      <c r="F814" s="262" t="s">
        <v>395</v>
      </c>
      <c r="G814" s="247"/>
      <c r="H814" s="316">
        <v>6523650</v>
      </c>
      <c r="I814" s="317">
        <v>91770</v>
      </c>
      <c r="J814" s="527">
        <f t="shared" si="280"/>
        <v>5794486.4864864862</v>
      </c>
      <c r="K814" s="527">
        <f t="shared" si="281"/>
        <v>637393.51351351349</v>
      </c>
      <c r="L814" s="336">
        <f t="shared" si="282"/>
        <v>6431880</v>
      </c>
      <c r="M814" s="316">
        <f t="shared" si="283"/>
        <v>6431880</v>
      </c>
    </row>
    <row r="815" spans="1:13" s="248" customFormat="1" x14ac:dyDescent="0.25">
      <c r="A815" s="264">
        <v>45280</v>
      </c>
      <c r="B815" s="433">
        <v>45278</v>
      </c>
      <c r="C815" s="328" t="s">
        <v>7571</v>
      </c>
      <c r="D815" s="524" t="s">
        <v>297</v>
      </c>
      <c r="E815" s="523" t="s">
        <v>369</v>
      </c>
      <c r="F815" s="262" t="s">
        <v>395</v>
      </c>
      <c r="G815" s="247"/>
      <c r="H815" s="316">
        <v>4303215</v>
      </c>
      <c r="I815" s="317">
        <v>137655</v>
      </c>
      <c r="J815" s="527">
        <f t="shared" si="280"/>
        <v>3752756.7567567565</v>
      </c>
      <c r="K815" s="527">
        <f t="shared" si="281"/>
        <v>412803.2432432432</v>
      </c>
      <c r="L815" s="336">
        <f t="shared" si="282"/>
        <v>4165559.9999999995</v>
      </c>
      <c r="M815" s="316">
        <f t="shared" si="283"/>
        <v>4165560</v>
      </c>
    </row>
    <row r="816" spans="1:13" s="248" customFormat="1" x14ac:dyDescent="0.25">
      <c r="A816" s="264"/>
      <c r="B816" s="433"/>
      <c r="C816" s="328"/>
      <c r="D816" s="263"/>
      <c r="E816" s="265"/>
      <c r="F816" s="262"/>
      <c r="G816" s="247"/>
      <c r="H816" s="316"/>
      <c r="I816" s="317"/>
      <c r="J816" s="527">
        <f t="shared" si="276"/>
        <v>0</v>
      </c>
      <c r="K816" s="527">
        <f>J816*11%</f>
        <v>0</v>
      </c>
      <c r="L816" s="336">
        <f>SUM(J816:K816)</f>
        <v>0</v>
      </c>
      <c r="M816" s="316">
        <f t="shared" si="279"/>
        <v>0</v>
      </c>
    </row>
    <row r="817" spans="1:13" s="248" customFormat="1" x14ac:dyDescent="0.25">
      <c r="A817" s="264">
        <v>45276</v>
      </c>
      <c r="B817" s="433">
        <v>45273</v>
      </c>
      <c r="C817" s="328" t="s">
        <v>7599</v>
      </c>
      <c r="D817" s="263" t="s">
        <v>299</v>
      </c>
      <c r="E817" s="265" t="s">
        <v>372</v>
      </c>
      <c r="F817" s="262" t="s">
        <v>6274</v>
      </c>
      <c r="G817" s="247"/>
      <c r="H817" s="316">
        <v>29484000</v>
      </c>
      <c r="I817" s="317">
        <v>0</v>
      </c>
      <c r="J817" s="527">
        <f t="shared" si="276"/>
        <v>26562162.162162159</v>
      </c>
      <c r="K817" s="527">
        <f>J817*11%</f>
        <v>2921837.8378378376</v>
      </c>
      <c r="L817" s="336">
        <f>SUM(J817:K817)</f>
        <v>29483999.999999996</v>
      </c>
      <c r="M817" s="316">
        <f t="shared" si="279"/>
        <v>29484000</v>
      </c>
    </row>
    <row r="818" spans="1:13" s="248" customFormat="1" x14ac:dyDescent="0.25">
      <c r="A818" s="264"/>
      <c r="B818" s="433"/>
      <c r="C818" s="328"/>
      <c r="D818" s="263"/>
      <c r="E818" s="265"/>
      <c r="F818" s="262"/>
      <c r="G818" s="247"/>
      <c r="H818" s="316"/>
      <c r="I818" s="317"/>
      <c r="J818" s="527"/>
      <c r="K818" s="527"/>
      <c r="L818" s="336"/>
      <c r="M818" s="316"/>
    </row>
    <row r="819" spans="1:13" s="248" customFormat="1" x14ac:dyDescent="0.25">
      <c r="A819" s="264">
        <v>45271</v>
      </c>
      <c r="B819" s="433">
        <v>45267</v>
      </c>
      <c r="C819" s="328" t="s">
        <v>7600</v>
      </c>
      <c r="D819" s="263" t="s">
        <v>5996</v>
      </c>
      <c r="E819" s="265" t="s">
        <v>5964</v>
      </c>
      <c r="F819" s="262" t="s">
        <v>5997</v>
      </c>
      <c r="G819" s="247"/>
      <c r="H819" s="316">
        <v>4935360</v>
      </c>
      <c r="I819" s="317">
        <v>0</v>
      </c>
      <c r="J819" s="527">
        <f>(H819-I819)/1.1</f>
        <v>4486690.9090909092</v>
      </c>
      <c r="K819" s="527">
        <f>J819*10%</f>
        <v>448669.09090909094</v>
      </c>
      <c r="L819" s="336">
        <f>SUM(J819:K819)</f>
        <v>4935360</v>
      </c>
      <c r="M819" s="316">
        <f t="shared" ref="M819" si="284">H819-I819</f>
        <v>4935360</v>
      </c>
    </row>
    <row r="820" spans="1:13" s="248" customFormat="1" x14ac:dyDescent="0.25">
      <c r="A820" s="264"/>
      <c r="B820" s="433"/>
      <c r="C820" s="328"/>
      <c r="D820" s="263"/>
      <c r="E820" s="265"/>
      <c r="F820" s="262"/>
      <c r="G820" s="247"/>
      <c r="H820" s="316"/>
      <c r="I820" s="317"/>
      <c r="J820" s="527"/>
      <c r="K820" s="527"/>
      <c r="L820" s="336"/>
      <c r="M820" s="316"/>
    </row>
    <row r="821" spans="1:13" s="248" customFormat="1" x14ac:dyDescent="0.25">
      <c r="A821" s="264">
        <v>45273</v>
      </c>
      <c r="B821" s="433">
        <v>45272</v>
      </c>
      <c r="C821" s="328" t="s">
        <v>7601</v>
      </c>
      <c r="D821" s="263" t="s">
        <v>397</v>
      </c>
      <c r="E821" s="265" t="s">
        <v>7135</v>
      </c>
      <c r="F821" s="262" t="s">
        <v>396</v>
      </c>
      <c r="G821" s="247" t="s">
        <v>7511</v>
      </c>
      <c r="H821" s="316">
        <v>4961700</v>
      </c>
      <c r="I821" s="317">
        <v>0</v>
      </c>
      <c r="J821" s="527">
        <v>4470000</v>
      </c>
      <c r="K821" s="527">
        <v>491700</v>
      </c>
      <c r="L821" s="336">
        <f t="shared" si="278"/>
        <v>4961700</v>
      </c>
      <c r="M821" s="316">
        <f t="shared" si="279"/>
        <v>4961700</v>
      </c>
    </row>
    <row r="822" spans="1:13" s="248" customFormat="1" x14ac:dyDescent="0.25">
      <c r="A822" s="264"/>
      <c r="B822" s="433"/>
      <c r="C822" s="328"/>
      <c r="D822" s="263"/>
      <c r="E822" s="265"/>
      <c r="F822" s="262"/>
      <c r="G822" s="247"/>
      <c r="H822" s="316"/>
      <c r="I822" s="317"/>
      <c r="J822" s="527">
        <f t="shared" ref="J822:J864" si="285">(H822-I822)/1.11</f>
        <v>0</v>
      </c>
      <c r="K822" s="527">
        <f>J822*11%</f>
        <v>0</v>
      </c>
      <c r="L822" s="336">
        <f>SUM(J822:K822)</f>
        <v>0</v>
      </c>
      <c r="M822" s="316">
        <f t="shared" si="279"/>
        <v>0</v>
      </c>
    </row>
    <row r="823" spans="1:13" s="248" customFormat="1" x14ac:dyDescent="0.25">
      <c r="A823" s="264">
        <v>45268</v>
      </c>
      <c r="B823" s="433">
        <v>45267</v>
      </c>
      <c r="C823" s="328" t="s">
        <v>7602</v>
      </c>
      <c r="D823" s="263" t="s">
        <v>378</v>
      </c>
      <c r="E823" s="265" t="s">
        <v>379</v>
      </c>
      <c r="F823" s="262" t="s">
        <v>380</v>
      </c>
      <c r="G823" s="247"/>
      <c r="H823" s="316">
        <v>22380000</v>
      </c>
      <c r="I823" s="317">
        <v>1566600</v>
      </c>
      <c r="J823" s="527">
        <f t="shared" ref="J823:J825" si="286">(H823-I823)/1.11</f>
        <v>18750810.810810808</v>
      </c>
      <c r="K823" s="527">
        <f t="shared" ref="K823:K825" si="287">J823*11%</f>
        <v>2062589.1891891889</v>
      </c>
      <c r="L823" s="336">
        <f t="shared" ref="L823:L825" si="288">SUM(J823:K823)</f>
        <v>20813399.999999996</v>
      </c>
      <c r="M823" s="316">
        <f t="shared" ref="M823:M825" si="289">H823-I823</f>
        <v>20813400</v>
      </c>
    </row>
    <row r="824" spans="1:13" s="248" customFormat="1" x14ac:dyDescent="0.25">
      <c r="A824" s="264">
        <v>45273</v>
      </c>
      <c r="B824" s="433">
        <v>45272</v>
      </c>
      <c r="C824" s="328" t="s">
        <v>7603</v>
      </c>
      <c r="D824" s="263" t="s">
        <v>378</v>
      </c>
      <c r="E824" s="265" t="s">
        <v>379</v>
      </c>
      <c r="F824" s="262" t="s">
        <v>380</v>
      </c>
      <c r="G824" s="247"/>
      <c r="H824" s="316">
        <v>11280000</v>
      </c>
      <c r="I824" s="317">
        <v>789600.00000000012</v>
      </c>
      <c r="J824" s="527">
        <f t="shared" si="286"/>
        <v>9450810.81081081</v>
      </c>
      <c r="K824" s="527">
        <f t="shared" si="287"/>
        <v>1039589.1891891891</v>
      </c>
      <c r="L824" s="336">
        <f t="shared" si="288"/>
        <v>10490400</v>
      </c>
      <c r="M824" s="316">
        <f t="shared" si="289"/>
        <v>10490400</v>
      </c>
    </row>
    <row r="825" spans="1:13" s="248" customFormat="1" x14ac:dyDescent="0.25">
      <c r="A825" s="264">
        <v>45273</v>
      </c>
      <c r="B825" s="433">
        <v>45273</v>
      </c>
      <c r="C825" s="328" t="s">
        <v>7604</v>
      </c>
      <c r="D825" s="263" t="s">
        <v>378</v>
      </c>
      <c r="E825" s="265" t="s">
        <v>379</v>
      </c>
      <c r="F825" s="262" t="s">
        <v>380</v>
      </c>
      <c r="G825" s="247"/>
      <c r="H825" s="316">
        <v>52500000</v>
      </c>
      <c r="I825" s="317">
        <v>3675000.0000000005</v>
      </c>
      <c r="J825" s="527">
        <f t="shared" si="286"/>
        <v>43986486.48648648</v>
      </c>
      <c r="K825" s="527">
        <f t="shared" si="287"/>
        <v>4838513.5135135129</v>
      </c>
      <c r="L825" s="336">
        <f t="shared" si="288"/>
        <v>48824999.999999993</v>
      </c>
      <c r="M825" s="316">
        <f t="shared" si="289"/>
        <v>48825000</v>
      </c>
    </row>
    <row r="826" spans="1:13" s="248" customFormat="1" x14ac:dyDescent="0.25">
      <c r="A826" s="264"/>
      <c r="B826" s="433"/>
      <c r="C826" s="328"/>
      <c r="D826" s="263"/>
      <c r="E826" s="265"/>
      <c r="F826" s="262"/>
      <c r="G826" s="247"/>
      <c r="H826" s="316"/>
      <c r="I826" s="317"/>
      <c r="J826" s="527">
        <f t="shared" si="285"/>
        <v>0</v>
      </c>
      <c r="K826" s="527">
        <f>J826*11%</f>
        <v>0</v>
      </c>
      <c r="L826" s="336">
        <f>SUM(J826:K826)</f>
        <v>0</v>
      </c>
      <c r="M826" s="316">
        <f t="shared" si="279"/>
        <v>0</v>
      </c>
    </row>
    <row r="827" spans="1:13" s="248" customFormat="1" x14ac:dyDescent="0.25">
      <c r="A827" s="264">
        <v>45262</v>
      </c>
      <c r="B827" s="433">
        <v>45261</v>
      </c>
      <c r="C827" s="328" t="s">
        <v>7513</v>
      </c>
      <c r="D827" s="263" t="s">
        <v>303</v>
      </c>
      <c r="E827" s="265" t="s">
        <v>373</v>
      </c>
      <c r="F827" s="262" t="s">
        <v>4317</v>
      </c>
      <c r="G827" s="247" t="s">
        <v>7512</v>
      </c>
      <c r="H827" s="316">
        <v>12000000</v>
      </c>
      <c r="I827" s="317">
        <v>0</v>
      </c>
      <c r="J827" s="527">
        <v>10810810</v>
      </c>
      <c r="K827" s="527">
        <v>1189189</v>
      </c>
      <c r="L827" s="336">
        <f t="shared" ref="L827" si="290">SUM(J827:K827)</f>
        <v>11999999</v>
      </c>
      <c r="M827" s="316">
        <f t="shared" ref="M827" si="291">H827-I827</f>
        <v>12000000</v>
      </c>
    </row>
    <row r="828" spans="1:13" s="248" customFormat="1" x14ac:dyDescent="0.25">
      <c r="A828" s="264"/>
      <c r="B828" s="433"/>
      <c r="C828" s="328"/>
      <c r="D828" s="263"/>
      <c r="E828" s="265"/>
      <c r="F828" s="262"/>
      <c r="G828" s="247"/>
      <c r="H828" s="316"/>
      <c r="I828" s="317"/>
      <c r="J828" s="527">
        <f t="shared" si="285"/>
        <v>0</v>
      </c>
      <c r="K828" s="527">
        <f>J828*11%</f>
        <v>0</v>
      </c>
      <c r="L828" s="336">
        <f>SUM(J828:K828)</f>
        <v>0</v>
      </c>
      <c r="M828" s="316">
        <f t="shared" si="279"/>
        <v>0</v>
      </c>
    </row>
    <row r="829" spans="1:13" s="248" customFormat="1" x14ac:dyDescent="0.25">
      <c r="A829" s="264">
        <v>45266</v>
      </c>
      <c r="B829" s="433">
        <v>45261</v>
      </c>
      <c r="C829" s="328" t="s">
        <v>7605</v>
      </c>
      <c r="D829" s="263" t="s">
        <v>390</v>
      </c>
      <c r="E829" s="262" t="s">
        <v>391</v>
      </c>
      <c r="F829" s="265" t="s">
        <v>394</v>
      </c>
      <c r="G829" s="247"/>
      <c r="H829" s="316">
        <v>5061489</v>
      </c>
      <c r="I829" s="317">
        <v>950100</v>
      </c>
      <c r="J829" s="527">
        <f t="shared" ref="J829" si="292">(H829-I829)/1.11</f>
        <v>3703954.0540540535</v>
      </c>
      <c r="K829" s="527">
        <f>J829*11%</f>
        <v>407434.94594594586</v>
      </c>
      <c r="L829" s="336">
        <f>SUM(J829:K829)</f>
        <v>4111388.9999999995</v>
      </c>
      <c r="M829" s="316">
        <f t="shared" ref="M829" si="293">H829-I829</f>
        <v>4111389</v>
      </c>
    </row>
    <row r="830" spans="1:13" s="248" customFormat="1" x14ac:dyDescent="0.25">
      <c r="A830" s="264"/>
      <c r="B830" s="433"/>
      <c r="C830" s="328"/>
      <c r="D830" s="263"/>
      <c r="E830" s="262"/>
      <c r="F830" s="262"/>
      <c r="G830" s="247"/>
      <c r="H830" s="316"/>
      <c r="I830" s="317"/>
      <c r="J830" s="527">
        <f t="shared" si="285"/>
        <v>0</v>
      </c>
      <c r="K830" s="527">
        <f>J830*11%</f>
        <v>0</v>
      </c>
      <c r="L830" s="336">
        <f>SUM(J830:K830)</f>
        <v>0</v>
      </c>
      <c r="M830" s="316">
        <f t="shared" si="279"/>
        <v>0</v>
      </c>
    </row>
    <row r="831" spans="1:13" s="248" customFormat="1" x14ac:dyDescent="0.25">
      <c r="A831" s="264">
        <v>45260</v>
      </c>
      <c r="B831" s="433">
        <v>45261</v>
      </c>
      <c r="C831" s="328" t="s">
        <v>7572</v>
      </c>
      <c r="D831" s="263" t="s">
        <v>376</v>
      </c>
      <c r="E831" s="265" t="s">
        <v>377</v>
      </c>
      <c r="F831" s="262" t="s">
        <v>4316</v>
      </c>
      <c r="G831" s="247" t="s">
        <v>7514</v>
      </c>
      <c r="H831" s="316">
        <v>20484000</v>
      </c>
      <c r="I831" s="317">
        <v>3482280</v>
      </c>
      <c r="J831" s="527">
        <v>15316864</v>
      </c>
      <c r="K831" s="527">
        <v>1684855</v>
      </c>
      <c r="L831" s="336">
        <f t="shared" ref="L831:L840" si="294">SUM(J831:K831)</f>
        <v>17001719</v>
      </c>
      <c r="M831" s="316">
        <f t="shared" ref="M831:M840" si="295">H831-I831</f>
        <v>17001720</v>
      </c>
    </row>
    <row r="832" spans="1:13" s="248" customFormat="1" x14ac:dyDescent="0.25">
      <c r="A832" s="264">
        <v>45262</v>
      </c>
      <c r="B832" s="433">
        <v>45261</v>
      </c>
      <c r="C832" s="328" t="s">
        <v>7573</v>
      </c>
      <c r="D832" s="263" t="s">
        <v>376</v>
      </c>
      <c r="E832" s="265" t="s">
        <v>377</v>
      </c>
      <c r="F832" s="262" t="s">
        <v>4316</v>
      </c>
      <c r="G832" s="247" t="s">
        <v>7515</v>
      </c>
      <c r="H832" s="316">
        <v>30196200</v>
      </c>
      <c r="I832" s="317">
        <v>5133354</v>
      </c>
      <c r="J832" s="527">
        <v>22579140</v>
      </c>
      <c r="K832" s="527">
        <v>2483705</v>
      </c>
      <c r="L832" s="336">
        <f t="shared" si="294"/>
        <v>25062845</v>
      </c>
      <c r="M832" s="316">
        <f t="shared" si="295"/>
        <v>25062846</v>
      </c>
    </row>
    <row r="833" spans="1:13" s="248" customFormat="1" x14ac:dyDescent="0.25">
      <c r="A833" s="264">
        <v>45262</v>
      </c>
      <c r="B833" s="433">
        <v>45261</v>
      </c>
      <c r="C833" s="328" t="s">
        <v>7574</v>
      </c>
      <c r="D833" s="263" t="s">
        <v>376</v>
      </c>
      <c r="E833" s="265" t="s">
        <v>377</v>
      </c>
      <c r="F833" s="262" t="s">
        <v>4316</v>
      </c>
      <c r="G833" s="247" t="s">
        <v>7516</v>
      </c>
      <c r="H833" s="316">
        <v>7896000</v>
      </c>
      <c r="I833" s="317">
        <v>1342320</v>
      </c>
      <c r="J833" s="527">
        <v>5904216</v>
      </c>
      <c r="K833" s="527">
        <v>649463</v>
      </c>
      <c r="L833" s="336">
        <f t="shared" si="294"/>
        <v>6553679</v>
      </c>
      <c r="M833" s="316">
        <f t="shared" si="295"/>
        <v>6553680</v>
      </c>
    </row>
    <row r="834" spans="1:13" s="248" customFormat="1" x14ac:dyDescent="0.25">
      <c r="A834" s="264">
        <v>45266</v>
      </c>
      <c r="B834" s="433">
        <v>45262</v>
      </c>
      <c r="C834" s="328" t="s">
        <v>7575</v>
      </c>
      <c r="D834" s="263" t="s">
        <v>376</v>
      </c>
      <c r="E834" s="265" t="s">
        <v>377</v>
      </c>
      <c r="F834" s="262" t="s">
        <v>4316</v>
      </c>
      <c r="G834" s="247" t="s">
        <v>7517</v>
      </c>
      <c r="H834" s="316">
        <v>19187000</v>
      </c>
      <c r="I834" s="317">
        <v>3261790</v>
      </c>
      <c r="J834" s="527">
        <v>14347036</v>
      </c>
      <c r="K834" s="527">
        <v>1578173</v>
      </c>
      <c r="L834" s="336">
        <f t="shared" si="294"/>
        <v>15925209</v>
      </c>
      <c r="M834" s="316">
        <f t="shared" si="295"/>
        <v>15925210</v>
      </c>
    </row>
    <row r="835" spans="1:13" s="248" customFormat="1" x14ac:dyDescent="0.25">
      <c r="A835" s="264">
        <v>45266</v>
      </c>
      <c r="B835" s="433">
        <v>45262</v>
      </c>
      <c r="C835" s="328" t="s">
        <v>7576</v>
      </c>
      <c r="D835" s="263" t="s">
        <v>376</v>
      </c>
      <c r="E835" s="265" t="s">
        <v>377</v>
      </c>
      <c r="F835" s="262" t="s">
        <v>4316</v>
      </c>
      <c r="G835" s="247" t="s">
        <v>7518</v>
      </c>
      <c r="H835" s="316">
        <v>15756000</v>
      </c>
      <c r="I835" s="317">
        <v>2678520</v>
      </c>
      <c r="J835" s="527">
        <v>11781513</v>
      </c>
      <c r="K835" s="527">
        <v>1295966</v>
      </c>
      <c r="L835" s="336">
        <f t="shared" si="294"/>
        <v>13077479</v>
      </c>
      <c r="M835" s="316">
        <f t="shared" si="295"/>
        <v>13077480</v>
      </c>
    </row>
    <row r="836" spans="1:13" s="248" customFormat="1" x14ac:dyDescent="0.25">
      <c r="A836" s="264">
        <v>45266</v>
      </c>
      <c r="B836" s="433">
        <v>45264</v>
      </c>
      <c r="C836" s="328" t="s">
        <v>7577</v>
      </c>
      <c r="D836" s="263" t="s">
        <v>376</v>
      </c>
      <c r="E836" s="265" t="s">
        <v>377</v>
      </c>
      <c r="F836" s="262" t="s">
        <v>4316</v>
      </c>
      <c r="G836" s="247" t="s">
        <v>7519</v>
      </c>
      <c r="H836" s="316">
        <v>21454400</v>
      </c>
      <c r="I836" s="317">
        <v>3647248</v>
      </c>
      <c r="J836" s="527">
        <v>16042479</v>
      </c>
      <c r="K836" s="527">
        <v>1764672</v>
      </c>
      <c r="L836" s="336">
        <f t="shared" si="294"/>
        <v>17807151</v>
      </c>
      <c r="M836" s="316">
        <f t="shared" si="295"/>
        <v>17807152</v>
      </c>
    </row>
    <row r="837" spans="1:13" s="248" customFormat="1" x14ac:dyDescent="0.25">
      <c r="A837" s="264">
        <v>45268</v>
      </c>
      <c r="B837" s="433">
        <v>45266</v>
      </c>
      <c r="C837" s="328" t="s">
        <v>7578</v>
      </c>
      <c r="D837" s="263" t="s">
        <v>376</v>
      </c>
      <c r="E837" s="265" t="s">
        <v>377</v>
      </c>
      <c r="F837" s="262" t="s">
        <v>4316</v>
      </c>
      <c r="G837" s="247" t="s">
        <v>7520</v>
      </c>
      <c r="H837" s="316">
        <v>10608000</v>
      </c>
      <c r="I837" s="317">
        <v>1803360</v>
      </c>
      <c r="J837" s="527">
        <v>7932108</v>
      </c>
      <c r="K837" s="527">
        <v>872531</v>
      </c>
      <c r="L837" s="336">
        <f t="shared" si="294"/>
        <v>8804639</v>
      </c>
      <c r="M837" s="316">
        <f t="shared" si="295"/>
        <v>8804640</v>
      </c>
    </row>
    <row r="838" spans="1:13" s="248" customFormat="1" x14ac:dyDescent="0.25">
      <c r="A838" s="264">
        <v>45268</v>
      </c>
      <c r="B838" s="433">
        <v>45267</v>
      </c>
      <c r="C838" s="328" t="s">
        <v>7579</v>
      </c>
      <c r="D838" s="263" t="s">
        <v>376</v>
      </c>
      <c r="E838" s="265" t="s">
        <v>377</v>
      </c>
      <c r="F838" s="262" t="s">
        <v>4316</v>
      </c>
      <c r="G838" s="247" t="s">
        <v>7521</v>
      </c>
      <c r="H838" s="316">
        <v>9774000</v>
      </c>
      <c r="I838" s="317">
        <v>1661580.0000000002</v>
      </c>
      <c r="J838" s="527">
        <v>7308486</v>
      </c>
      <c r="K838" s="527">
        <v>803933</v>
      </c>
      <c r="L838" s="336">
        <f t="shared" si="294"/>
        <v>8112419</v>
      </c>
      <c r="M838" s="316">
        <f t="shared" si="295"/>
        <v>8112420</v>
      </c>
    </row>
    <row r="839" spans="1:13" s="248" customFormat="1" x14ac:dyDescent="0.25">
      <c r="A839" s="264">
        <v>45271</v>
      </c>
      <c r="B839" s="433">
        <v>45268</v>
      </c>
      <c r="C839" s="328" t="s">
        <v>7580</v>
      </c>
      <c r="D839" s="263" t="s">
        <v>376</v>
      </c>
      <c r="E839" s="265" t="s">
        <v>377</v>
      </c>
      <c r="F839" s="262" t="s">
        <v>4316</v>
      </c>
      <c r="G839" s="247" t="s">
        <v>7522</v>
      </c>
      <c r="H839" s="316">
        <v>24810800</v>
      </c>
      <c r="I839" s="317">
        <v>4275106</v>
      </c>
      <c r="J839" s="527">
        <v>18500625</v>
      </c>
      <c r="K839" s="527">
        <v>2035068</v>
      </c>
      <c r="L839" s="336">
        <f t="shared" si="294"/>
        <v>20535693</v>
      </c>
      <c r="M839" s="316">
        <f t="shared" si="295"/>
        <v>20535694</v>
      </c>
    </row>
    <row r="840" spans="1:13" s="248" customFormat="1" x14ac:dyDescent="0.25">
      <c r="A840" s="264">
        <v>45271</v>
      </c>
      <c r="B840" s="433">
        <v>45268</v>
      </c>
      <c r="C840" s="328" t="s">
        <v>7581</v>
      </c>
      <c r="D840" s="263" t="s">
        <v>376</v>
      </c>
      <c r="E840" s="265" t="s">
        <v>377</v>
      </c>
      <c r="F840" s="262" t="s">
        <v>4316</v>
      </c>
      <c r="G840" s="247" t="s">
        <v>7523</v>
      </c>
      <c r="H840" s="316">
        <v>47376000</v>
      </c>
      <c r="I840" s="317">
        <v>8053920</v>
      </c>
      <c r="J840" s="527">
        <v>35425297</v>
      </c>
      <c r="K840" s="527">
        <v>3896782</v>
      </c>
      <c r="L840" s="336">
        <f t="shared" si="294"/>
        <v>39322079</v>
      </c>
      <c r="M840" s="316">
        <f t="shared" si="295"/>
        <v>39322080</v>
      </c>
    </row>
    <row r="841" spans="1:13" s="248" customFormat="1" x14ac:dyDescent="0.25">
      <c r="A841" s="264">
        <v>45271</v>
      </c>
      <c r="B841" s="433">
        <v>45268</v>
      </c>
      <c r="C841" s="328" t="s">
        <v>7582</v>
      </c>
      <c r="D841" s="263" t="s">
        <v>376</v>
      </c>
      <c r="E841" s="265" t="s">
        <v>377</v>
      </c>
      <c r="F841" s="262" t="s">
        <v>4316</v>
      </c>
      <c r="G841" s="247" t="s">
        <v>7524</v>
      </c>
      <c r="H841" s="316">
        <v>13646400</v>
      </c>
      <c r="I841" s="317">
        <v>2319888</v>
      </c>
      <c r="J841" s="527">
        <v>10204064</v>
      </c>
      <c r="K841" s="527">
        <v>1122447</v>
      </c>
      <c r="L841" s="336">
        <f t="shared" ref="L841:L845" si="296">SUM(J841:K841)</f>
        <v>11326511</v>
      </c>
      <c r="M841" s="316">
        <f t="shared" si="279"/>
        <v>11326512</v>
      </c>
    </row>
    <row r="842" spans="1:13" s="248" customFormat="1" x14ac:dyDescent="0.25">
      <c r="A842" s="264">
        <v>45271</v>
      </c>
      <c r="B842" s="433">
        <v>45269</v>
      </c>
      <c r="C842" s="328" t="s">
        <v>7583</v>
      </c>
      <c r="D842" s="263" t="s">
        <v>376</v>
      </c>
      <c r="E842" s="265" t="s">
        <v>377</v>
      </c>
      <c r="F842" s="262" t="s">
        <v>4316</v>
      </c>
      <c r="G842" s="247" t="s">
        <v>7525</v>
      </c>
      <c r="H842" s="316">
        <v>3312000</v>
      </c>
      <c r="I842" s="317">
        <v>563040</v>
      </c>
      <c r="J842" s="527">
        <v>2476540</v>
      </c>
      <c r="K842" s="527">
        <v>272419</v>
      </c>
      <c r="L842" s="336">
        <f t="shared" si="296"/>
        <v>2748959</v>
      </c>
      <c r="M842" s="316">
        <f t="shared" ref="M842:M845" si="297">H842-I842</f>
        <v>2748960</v>
      </c>
    </row>
    <row r="843" spans="1:13" s="248" customFormat="1" x14ac:dyDescent="0.25">
      <c r="A843" s="264">
        <v>45271</v>
      </c>
      <c r="B843" s="433">
        <v>45269</v>
      </c>
      <c r="C843" s="328" t="s">
        <v>7584</v>
      </c>
      <c r="D843" s="263" t="s">
        <v>376</v>
      </c>
      <c r="E843" s="265" t="s">
        <v>377</v>
      </c>
      <c r="F843" s="262" t="s">
        <v>4316</v>
      </c>
      <c r="G843" s="247" t="s">
        <v>7526</v>
      </c>
      <c r="H843" s="316">
        <v>5904000</v>
      </c>
      <c r="I843" s="317">
        <v>1003680.0000000001</v>
      </c>
      <c r="J843" s="527">
        <v>4414702</v>
      </c>
      <c r="K843" s="527">
        <v>485617</v>
      </c>
      <c r="L843" s="336">
        <f t="shared" si="296"/>
        <v>4900319</v>
      </c>
      <c r="M843" s="316">
        <f t="shared" si="297"/>
        <v>4900320</v>
      </c>
    </row>
    <row r="844" spans="1:13" s="248" customFormat="1" x14ac:dyDescent="0.25">
      <c r="A844" s="264">
        <v>45275</v>
      </c>
      <c r="B844" s="433">
        <v>45272</v>
      </c>
      <c r="C844" s="328" t="s">
        <v>7585</v>
      </c>
      <c r="D844" s="263" t="s">
        <v>376</v>
      </c>
      <c r="E844" s="265" t="s">
        <v>377</v>
      </c>
      <c r="F844" s="262" t="s">
        <v>4316</v>
      </c>
      <c r="G844" s="247" t="s">
        <v>7527</v>
      </c>
      <c r="H844" s="316">
        <v>179504400</v>
      </c>
      <c r="I844" s="317">
        <v>37866576.600000001</v>
      </c>
      <c r="J844" s="527">
        <v>127601642</v>
      </c>
      <c r="K844" s="527">
        <v>14036180</v>
      </c>
      <c r="L844" s="336">
        <f t="shared" si="296"/>
        <v>141637822</v>
      </c>
      <c r="M844" s="316">
        <f t="shared" si="297"/>
        <v>141637823.40000001</v>
      </c>
    </row>
    <row r="845" spans="1:13" s="248" customFormat="1" x14ac:dyDescent="0.25">
      <c r="A845" s="264">
        <v>45275</v>
      </c>
      <c r="B845" s="433">
        <v>45272</v>
      </c>
      <c r="C845" s="328" t="s">
        <v>7586</v>
      </c>
      <c r="D845" s="263" t="s">
        <v>376</v>
      </c>
      <c r="E845" s="265" t="s">
        <v>377</v>
      </c>
      <c r="F845" s="262" t="s">
        <v>4316</v>
      </c>
      <c r="G845" s="247" t="s">
        <v>7528</v>
      </c>
      <c r="H845" s="316">
        <v>72550000</v>
      </c>
      <c r="I845" s="317">
        <v>15296600</v>
      </c>
      <c r="J845" s="527">
        <v>51579639</v>
      </c>
      <c r="K845" s="527">
        <v>5673760</v>
      </c>
      <c r="L845" s="336">
        <f t="shared" si="296"/>
        <v>57253399</v>
      </c>
      <c r="M845" s="316">
        <f t="shared" si="297"/>
        <v>57253400</v>
      </c>
    </row>
    <row r="846" spans="1:13" s="248" customFormat="1" x14ac:dyDescent="0.25">
      <c r="A846" s="264">
        <v>45275</v>
      </c>
      <c r="B846" s="433">
        <v>45273</v>
      </c>
      <c r="C846" s="328" t="s">
        <v>7587</v>
      </c>
      <c r="D846" s="263" t="s">
        <v>376</v>
      </c>
      <c r="E846" s="265" t="s">
        <v>377</v>
      </c>
      <c r="F846" s="262" t="s">
        <v>4316</v>
      </c>
      <c r="G846" s="247" t="s">
        <v>7529</v>
      </c>
      <c r="H846" s="316">
        <v>37409200</v>
      </c>
      <c r="I846" s="317">
        <v>7454168</v>
      </c>
      <c r="J846" s="527">
        <v>26986515</v>
      </c>
      <c r="K846" s="527">
        <v>2968516</v>
      </c>
      <c r="L846" s="336">
        <f t="shared" ref="L846" si="298">SUM(J846:K846)</f>
        <v>29955031</v>
      </c>
      <c r="M846" s="316">
        <f t="shared" ref="M846" si="299">H846-I846</f>
        <v>29955032</v>
      </c>
    </row>
    <row r="847" spans="1:13" s="248" customFormat="1" x14ac:dyDescent="0.25">
      <c r="A847" s="264">
        <v>45276</v>
      </c>
      <c r="B847" s="433">
        <v>45274</v>
      </c>
      <c r="C847" s="328" t="s">
        <v>7588</v>
      </c>
      <c r="D847" s="263" t="s">
        <v>376</v>
      </c>
      <c r="E847" s="265" t="s">
        <v>377</v>
      </c>
      <c r="F847" s="262" t="s">
        <v>4316</v>
      </c>
      <c r="G847" s="247" t="s">
        <v>7530</v>
      </c>
      <c r="H847" s="316">
        <v>8059200</v>
      </c>
      <c r="I847" s="317">
        <v>1370064</v>
      </c>
      <c r="J847" s="527">
        <v>6026248</v>
      </c>
      <c r="K847" s="527">
        <v>662887</v>
      </c>
      <c r="L847" s="336">
        <f t="shared" ref="L847:L848" si="300">SUM(J847:K847)</f>
        <v>6689135</v>
      </c>
      <c r="M847" s="316">
        <f t="shared" si="279"/>
        <v>6689136</v>
      </c>
    </row>
    <row r="848" spans="1:13" s="248" customFormat="1" x14ac:dyDescent="0.25">
      <c r="A848" s="264">
        <v>45276</v>
      </c>
      <c r="B848" s="433">
        <v>45275</v>
      </c>
      <c r="C848" s="328" t="s">
        <v>7589</v>
      </c>
      <c r="D848" s="263" t="s">
        <v>376</v>
      </c>
      <c r="E848" s="265" t="s">
        <v>377</v>
      </c>
      <c r="F848" s="262" t="s">
        <v>4316</v>
      </c>
      <c r="G848" s="247" t="s">
        <v>7531</v>
      </c>
      <c r="H848" s="316">
        <v>86608000</v>
      </c>
      <c r="I848" s="317">
        <v>18134062.399999999</v>
      </c>
      <c r="J848" s="527">
        <v>61688232</v>
      </c>
      <c r="K848" s="527">
        <v>6785705</v>
      </c>
      <c r="L848" s="336">
        <f t="shared" si="300"/>
        <v>68473937</v>
      </c>
      <c r="M848" s="316">
        <f t="shared" ref="M848" si="301">H848-I848</f>
        <v>68473937.599999994</v>
      </c>
    </row>
    <row r="849" spans="1:13" s="248" customFormat="1" x14ac:dyDescent="0.25">
      <c r="A849" s="264">
        <v>45276</v>
      </c>
      <c r="B849" s="433">
        <v>45275</v>
      </c>
      <c r="C849" s="328" t="s">
        <v>7590</v>
      </c>
      <c r="D849" s="263" t="s">
        <v>376</v>
      </c>
      <c r="E849" s="265" t="s">
        <v>377</v>
      </c>
      <c r="F849" s="262" t="s">
        <v>4316</v>
      </c>
      <c r="G849" s="247" t="s">
        <v>7532</v>
      </c>
      <c r="H849" s="316">
        <v>50592000</v>
      </c>
      <c r="I849" s="317">
        <v>10700208</v>
      </c>
      <c r="J849" s="527">
        <v>35938551</v>
      </c>
      <c r="K849" s="527">
        <v>3953240</v>
      </c>
      <c r="L849" s="336">
        <f t="shared" ref="L849:L850" si="302">SUM(J849:K849)</f>
        <v>39891791</v>
      </c>
      <c r="M849" s="316">
        <f t="shared" ref="M849:M850" si="303">H849-I849</f>
        <v>39891792</v>
      </c>
    </row>
    <row r="850" spans="1:13" s="248" customFormat="1" x14ac:dyDescent="0.25">
      <c r="A850" s="264">
        <v>45276</v>
      </c>
      <c r="B850" s="433">
        <v>45275</v>
      </c>
      <c r="C850" s="328" t="s">
        <v>7591</v>
      </c>
      <c r="D850" s="263" t="s">
        <v>376</v>
      </c>
      <c r="E850" s="265" t="s">
        <v>377</v>
      </c>
      <c r="F850" s="262" t="s">
        <v>4316</v>
      </c>
      <c r="G850" s="247" t="s">
        <v>7533</v>
      </c>
      <c r="H850" s="316">
        <v>5609600</v>
      </c>
      <c r="I850" s="317">
        <v>953632</v>
      </c>
      <c r="J850" s="527">
        <v>4194565</v>
      </c>
      <c r="K850" s="527">
        <v>461402</v>
      </c>
      <c r="L850" s="336">
        <f t="shared" si="302"/>
        <v>4655967</v>
      </c>
      <c r="M850" s="316">
        <f t="shared" si="303"/>
        <v>4655968</v>
      </c>
    </row>
    <row r="851" spans="1:13" s="248" customFormat="1" x14ac:dyDescent="0.25">
      <c r="A851" s="264">
        <v>45283</v>
      </c>
      <c r="B851" s="433">
        <v>45278</v>
      </c>
      <c r="C851" s="328" t="s">
        <v>7592</v>
      </c>
      <c r="D851" s="263" t="s">
        <v>376</v>
      </c>
      <c r="E851" s="265" t="s">
        <v>377</v>
      </c>
      <c r="F851" s="262" t="s">
        <v>4316</v>
      </c>
      <c r="G851" s="247"/>
      <c r="H851" s="316">
        <v>42336000</v>
      </c>
      <c r="I851" s="317">
        <v>8954064</v>
      </c>
      <c r="J851" s="527">
        <f t="shared" si="285"/>
        <v>30073816.216216214</v>
      </c>
      <c r="K851" s="527">
        <f t="shared" si="277"/>
        <v>3308119.7837837837</v>
      </c>
      <c r="L851" s="336">
        <f t="shared" si="278"/>
        <v>33381935.999999996</v>
      </c>
      <c r="M851" s="316">
        <f t="shared" si="279"/>
        <v>33381936</v>
      </c>
    </row>
    <row r="852" spans="1:13" s="248" customFormat="1" x14ac:dyDescent="0.25">
      <c r="A852" s="264">
        <v>45283</v>
      </c>
      <c r="B852" s="433">
        <v>45278</v>
      </c>
      <c r="C852" s="328" t="s">
        <v>7593</v>
      </c>
      <c r="D852" s="263" t="s">
        <v>376</v>
      </c>
      <c r="E852" s="265" t="s">
        <v>377</v>
      </c>
      <c r="F852" s="262" t="s">
        <v>4316</v>
      </c>
      <c r="G852" s="247"/>
      <c r="H852" s="316">
        <v>67392000</v>
      </c>
      <c r="I852" s="317">
        <v>11456640</v>
      </c>
      <c r="J852" s="527">
        <f t="shared" si="285"/>
        <v>50392216.216216214</v>
      </c>
      <c r="K852" s="527">
        <f t="shared" si="277"/>
        <v>5543143.7837837832</v>
      </c>
      <c r="L852" s="336">
        <f t="shared" si="278"/>
        <v>55935360</v>
      </c>
      <c r="M852" s="316">
        <f t="shared" si="279"/>
        <v>55935360</v>
      </c>
    </row>
    <row r="853" spans="1:13" s="248" customFormat="1" x14ac:dyDescent="0.25">
      <c r="A853" s="264">
        <v>45283</v>
      </c>
      <c r="B853" s="433">
        <v>45278</v>
      </c>
      <c r="C853" s="328" t="s">
        <v>7594</v>
      </c>
      <c r="D853" s="263" t="s">
        <v>376</v>
      </c>
      <c r="E853" s="265" t="s">
        <v>377</v>
      </c>
      <c r="F853" s="262" t="s">
        <v>4316</v>
      </c>
      <c r="G853" s="247"/>
      <c r="H853" s="316">
        <v>10440000</v>
      </c>
      <c r="I853" s="317">
        <v>2208060</v>
      </c>
      <c r="J853" s="527">
        <f t="shared" ref="J853:J859" si="304">(H853-I853)/1.11</f>
        <v>7416162.1621621614</v>
      </c>
      <c r="K853" s="527">
        <f t="shared" ref="K853:K859" si="305">J853*11%</f>
        <v>815777.83783783775</v>
      </c>
      <c r="L853" s="336">
        <f t="shared" ref="L853:L859" si="306">SUM(J853:K853)</f>
        <v>8231939.9999999991</v>
      </c>
      <c r="M853" s="316">
        <f t="shared" ref="M853:M859" si="307">H853-I853</f>
        <v>8231940</v>
      </c>
    </row>
    <row r="854" spans="1:13" s="248" customFormat="1" x14ac:dyDescent="0.25">
      <c r="A854" s="264">
        <v>45283</v>
      </c>
      <c r="B854" s="433">
        <v>45279</v>
      </c>
      <c r="C854" s="328" t="s">
        <v>7595</v>
      </c>
      <c r="D854" s="263" t="s">
        <v>376</v>
      </c>
      <c r="E854" s="265" t="s">
        <v>377</v>
      </c>
      <c r="F854" s="262" t="s">
        <v>4316</v>
      </c>
      <c r="G854" s="247"/>
      <c r="H854" s="316">
        <v>12096000</v>
      </c>
      <c r="I854" s="317">
        <v>2217672</v>
      </c>
      <c r="J854" s="527">
        <f t="shared" si="304"/>
        <v>8899394.5945945941</v>
      </c>
      <c r="K854" s="527">
        <f t="shared" si="305"/>
        <v>978933.40540540533</v>
      </c>
      <c r="L854" s="336">
        <f t="shared" si="306"/>
        <v>9878328</v>
      </c>
      <c r="M854" s="316">
        <f t="shared" si="307"/>
        <v>9878328</v>
      </c>
    </row>
    <row r="855" spans="1:13" s="248" customFormat="1" x14ac:dyDescent="0.25">
      <c r="A855" s="264">
        <v>45283</v>
      </c>
      <c r="B855" s="433">
        <v>45280</v>
      </c>
      <c r="C855" s="328" t="s">
        <v>7596</v>
      </c>
      <c r="D855" s="263" t="s">
        <v>376</v>
      </c>
      <c r="E855" s="265" t="s">
        <v>377</v>
      </c>
      <c r="F855" s="262" t="s">
        <v>4316</v>
      </c>
      <c r="G855" s="247"/>
      <c r="H855" s="316">
        <v>4776000</v>
      </c>
      <c r="I855" s="317">
        <v>811920</v>
      </c>
      <c r="J855" s="527">
        <f t="shared" si="304"/>
        <v>3571243.2432432431</v>
      </c>
      <c r="K855" s="527">
        <f t="shared" si="305"/>
        <v>392836.75675675675</v>
      </c>
      <c r="L855" s="336">
        <f t="shared" si="306"/>
        <v>3964080</v>
      </c>
      <c r="M855" s="316">
        <f t="shared" si="307"/>
        <v>3964080</v>
      </c>
    </row>
    <row r="856" spans="1:13" s="248" customFormat="1" x14ac:dyDescent="0.25">
      <c r="A856" s="264">
        <v>45287</v>
      </c>
      <c r="B856" s="433">
        <v>45281</v>
      </c>
      <c r="C856" s="328" t="s">
        <v>7597</v>
      </c>
      <c r="D856" s="263" t="s">
        <v>376</v>
      </c>
      <c r="E856" s="265" t="s">
        <v>377</v>
      </c>
      <c r="F856" s="262" t="s">
        <v>4316</v>
      </c>
      <c r="G856" s="247"/>
      <c r="H856" s="316">
        <v>36048000</v>
      </c>
      <c r="I856" s="317">
        <v>6128160.0000000009</v>
      </c>
      <c r="J856" s="527">
        <f t="shared" si="304"/>
        <v>26954810.810810808</v>
      </c>
      <c r="K856" s="527">
        <f t="shared" si="305"/>
        <v>2965029.1891891891</v>
      </c>
      <c r="L856" s="336">
        <f t="shared" si="306"/>
        <v>29919839.999999996</v>
      </c>
      <c r="M856" s="316">
        <f t="shared" si="307"/>
        <v>29919840</v>
      </c>
    </row>
    <row r="857" spans="1:13" s="248" customFormat="1" x14ac:dyDescent="0.25">
      <c r="A857" s="264">
        <v>45287</v>
      </c>
      <c r="B857" s="433">
        <v>45281</v>
      </c>
      <c r="C857" s="328">
        <v>23121764</v>
      </c>
      <c r="D857" s="263" t="s">
        <v>376</v>
      </c>
      <c r="E857" s="265" t="s">
        <v>377</v>
      </c>
      <c r="F857" s="262" t="s">
        <v>4316</v>
      </c>
      <c r="G857" s="247"/>
      <c r="H857" s="316">
        <v>6472000</v>
      </c>
      <c r="I857" s="317">
        <v>1100240</v>
      </c>
      <c r="J857" s="527">
        <f t="shared" si="304"/>
        <v>4839423.4234234234</v>
      </c>
      <c r="K857" s="527">
        <f t="shared" si="305"/>
        <v>532336.57657657657</v>
      </c>
      <c r="L857" s="336">
        <f t="shared" si="306"/>
        <v>5371760</v>
      </c>
      <c r="M857" s="316">
        <f t="shared" si="307"/>
        <v>5371760</v>
      </c>
    </row>
    <row r="858" spans="1:13" s="248" customFormat="1" x14ac:dyDescent="0.25">
      <c r="A858" s="264">
        <v>45287</v>
      </c>
      <c r="B858" s="433">
        <v>45282</v>
      </c>
      <c r="C858" s="328" t="s">
        <v>7598</v>
      </c>
      <c r="D858" s="263" t="s">
        <v>376</v>
      </c>
      <c r="E858" s="265" t="s">
        <v>377</v>
      </c>
      <c r="F858" s="262" t="s">
        <v>4316</v>
      </c>
      <c r="G858" s="247"/>
      <c r="H858" s="316">
        <v>20107600</v>
      </c>
      <c r="I858" s="317">
        <v>3418292</v>
      </c>
      <c r="J858" s="527">
        <f t="shared" si="304"/>
        <v>15035412.612612611</v>
      </c>
      <c r="K858" s="527">
        <f t="shared" si="305"/>
        <v>1653895.3873873872</v>
      </c>
      <c r="L858" s="336">
        <f t="shared" si="306"/>
        <v>16689307.999999998</v>
      </c>
      <c r="M858" s="316">
        <f t="shared" si="307"/>
        <v>16689308</v>
      </c>
    </row>
    <row r="859" spans="1:13" s="248" customFormat="1" x14ac:dyDescent="0.25">
      <c r="A859" s="264">
        <v>45287</v>
      </c>
      <c r="B859" s="433">
        <v>45283</v>
      </c>
      <c r="C859" s="328">
        <v>23121906</v>
      </c>
      <c r="D859" s="263" t="s">
        <v>376</v>
      </c>
      <c r="E859" s="265" t="s">
        <v>377</v>
      </c>
      <c r="F859" s="262" t="s">
        <v>4316</v>
      </c>
      <c r="G859" s="247"/>
      <c r="H859" s="316">
        <v>14851200</v>
      </c>
      <c r="I859" s="317">
        <v>2524704</v>
      </c>
      <c r="J859" s="527">
        <f t="shared" si="304"/>
        <v>11104951.351351351</v>
      </c>
      <c r="K859" s="527">
        <f t="shared" si="305"/>
        <v>1221544.6486486485</v>
      </c>
      <c r="L859" s="336">
        <f t="shared" si="306"/>
        <v>12326496</v>
      </c>
      <c r="M859" s="316">
        <f t="shared" si="307"/>
        <v>12326496</v>
      </c>
    </row>
    <row r="860" spans="1:13" s="248" customFormat="1" x14ac:dyDescent="0.25">
      <c r="A860" s="264"/>
      <c r="B860" s="433"/>
      <c r="C860" s="328"/>
      <c r="D860" s="263"/>
      <c r="E860" s="265"/>
      <c r="F860" s="262"/>
      <c r="G860" s="247"/>
      <c r="H860" s="316"/>
      <c r="I860" s="317"/>
      <c r="J860" s="527"/>
      <c r="K860" s="527"/>
      <c r="L860" s="336"/>
      <c r="M860" s="316"/>
    </row>
    <row r="861" spans="1:13" s="248" customFormat="1" x14ac:dyDescent="0.25">
      <c r="A861" s="264"/>
      <c r="B861" s="433"/>
      <c r="C861" s="328"/>
      <c r="D861" s="263" t="s">
        <v>5558</v>
      </c>
      <c r="E861" s="265" t="s">
        <v>5559</v>
      </c>
      <c r="F861" s="262" t="s">
        <v>5560</v>
      </c>
      <c r="G861" s="247"/>
      <c r="H861" s="316"/>
      <c r="I861" s="317"/>
      <c r="J861" s="527">
        <f t="shared" si="285"/>
        <v>0</v>
      </c>
      <c r="K861" s="527">
        <f t="shared" si="277"/>
        <v>0</v>
      </c>
      <c r="L861" s="336">
        <f t="shared" si="278"/>
        <v>0</v>
      </c>
      <c r="M861" s="316">
        <f t="shared" si="279"/>
        <v>0</v>
      </c>
    </row>
    <row r="862" spans="1:13" s="248" customFormat="1" x14ac:dyDescent="0.25">
      <c r="A862" s="264"/>
      <c r="B862" s="433"/>
      <c r="C862" s="328"/>
      <c r="D862" s="263"/>
      <c r="E862" s="265"/>
      <c r="F862" s="262"/>
      <c r="G862" s="247"/>
      <c r="H862" s="316"/>
      <c r="I862" s="317"/>
      <c r="J862" s="527">
        <f t="shared" ref="J862" si="308">(H862-I862)/1.11</f>
        <v>0</v>
      </c>
      <c r="K862" s="527">
        <f t="shared" ref="K862" si="309">J862*11%</f>
        <v>0</v>
      </c>
      <c r="L862" s="336">
        <f t="shared" ref="L862" si="310">SUM(J862:K862)</f>
        <v>0</v>
      </c>
      <c r="M862" s="316">
        <f t="shared" ref="M862" si="311">H862-I862</f>
        <v>0</v>
      </c>
    </row>
    <row r="863" spans="1:13" s="248" customFormat="1" x14ac:dyDescent="0.25">
      <c r="A863" s="264"/>
      <c r="B863" s="433"/>
      <c r="C863" s="328"/>
      <c r="D863" s="263" t="s">
        <v>385</v>
      </c>
      <c r="E863" s="265" t="s">
        <v>386</v>
      </c>
      <c r="F863" s="262" t="s">
        <v>393</v>
      </c>
      <c r="G863" s="247"/>
      <c r="H863" s="316"/>
      <c r="I863" s="317"/>
      <c r="J863" s="527">
        <f t="shared" si="285"/>
        <v>0</v>
      </c>
      <c r="K863" s="527">
        <f t="shared" si="277"/>
        <v>0</v>
      </c>
      <c r="L863" s="336">
        <f t="shared" si="278"/>
        <v>0</v>
      </c>
      <c r="M863" s="316">
        <f t="shared" si="279"/>
        <v>0</v>
      </c>
    </row>
    <row r="864" spans="1:13" s="248" customFormat="1" x14ac:dyDescent="0.25">
      <c r="A864" s="264"/>
      <c r="B864" s="433"/>
      <c r="C864" s="328"/>
      <c r="D864" s="263"/>
      <c r="E864" s="265"/>
      <c r="F864" s="262"/>
      <c r="G864" s="247"/>
      <c r="H864" s="316"/>
      <c r="I864" s="317"/>
      <c r="J864" s="527">
        <f t="shared" si="285"/>
        <v>0</v>
      </c>
      <c r="K864" s="527">
        <f t="shared" si="277"/>
        <v>0</v>
      </c>
      <c r="L864" s="336">
        <f t="shared" si="278"/>
        <v>0</v>
      </c>
      <c r="M864" s="316">
        <f t="shared" si="279"/>
        <v>0</v>
      </c>
    </row>
    <row r="865" spans="1:13" ht="18" x14ac:dyDescent="0.25">
      <c r="A865" s="435" t="s">
        <v>38</v>
      </c>
      <c r="B865" s="434"/>
      <c r="C865" s="437"/>
      <c r="D865" s="436"/>
      <c r="E865" s="441"/>
      <c r="F865" s="441"/>
      <c r="G865" s="438"/>
      <c r="H865" s="336">
        <f>SUM(H786:H864)</f>
        <v>1586575097.375</v>
      </c>
      <c r="I865" s="335"/>
      <c r="J865" s="528">
        <f>SUM(J786:J864)</f>
        <v>1257192934.8685505</v>
      </c>
      <c r="K865" s="528">
        <f>SUM(K786:K864)</f>
        <v>138246346.00644964</v>
      </c>
      <c r="L865" s="337">
        <f>SUM(L786:L864)</f>
        <v>1395439280.875</v>
      </c>
      <c r="M865" s="337">
        <f>SUM(M786:M864)</f>
        <v>1395439301.875</v>
      </c>
    </row>
    <row r="866" spans="1:13" x14ac:dyDescent="0.25">
      <c r="G866" s="245"/>
      <c r="J866" s="529"/>
      <c r="K866" s="529"/>
      <c r="L866" s="315"/>
      <c r="M866" s="315"/>
    </row>
    <row r="867" spans="1:13" ht="25.5" x14ac:dyDescent="0.25">
      <c r="A867" s="442" t="s">
        <v>215</v>
      </c>
      <c r="B867" s="339"/>
      <c r="C867" s="439"/>
      <c r="E867" s="443">
        <f>L77+L138+L203+L252+L340+L415+L499+L573+L634+L698+L782+L865</f>
        <v>19756410485.625</v>
      </c>
      <c r="F867" s="439"/>
      <c r="G867" s="439"/>
    </row>
  </sheetData>
  <sortState ref="D475:E495">
    <sortCondition ref="D506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231"/>
  <sheetViews>
    <sheetView tabSelected="1" zoomScale="84" zoomScaleNormal="84" workbookViewId="0">
      <pane ySplit="4" topLeftCell="A2044" activePane="bottomLeft" state="frozen"/>
      <selection pane="bottomLeft" activeCell="C2063" sqref="C2063"/>
    </sheetView>
  </sheetViews>
  <sheetFormatPr defaultRowHeight="14.25" x14ac:dyDescent="0.2"/>
  <cols>
    <col min="1" max="1" width="5" style="305" bestFit="1" customWidth="1"/>
    <col min="2" max="2" width="15.7109375" style="348" customWidth="1"/>
    <col min="3" max="3" width="19.7109375" style="309" customWidth="1"/>
    <col min="4" max="4" width="21.7109375" style="340" customWidth="1"/>
    <col min="5" max="5" width="50.5703125" style="236" bestFit="1" customWidth="1"/>
    <col min="6" max="6" width="17.7109375" style="41" customWidth="1"/>
    <col min="7" max="7" width="23.140625" style="539" bestFit="1" customWidth="1"/>
    <col min="8" max="8" width="13.28515625" style="322" customWidth="1"/>
    <col min="9" max="9" width="17.7109375" style="312" customWidth="1"/>
    <col min="10" max="10" width="16.7109375" style="312" customWidth="1"/>
    <col min="11" max="11" width="20.7109375" style="350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19" t="s">
        <v>384</v>
      </c>
      <c r="C1" s="307"/>
      <c r="D1" s="341"/>
      <c r="E1" s="259"/>
      <c r="F1" s="259"/>
      <c r="G1" s="341"/>
      <c r="I1" s="310"/>
      <c r="J1" s="310"/>
      <c r="K1" s="349"/>
      <c r="L1" s="284"/>
    </row>
    <row r="2" spans="1:12" ht="20.25" x14ac:dyDescent="0.3">
      <c r="B2" s="320" t="s">
        <v>294</v>
      </c>
      <c r="C2" s="307"/>
      <c r="D2" s="341"/>
      <c r="E2" s="259"/>
      <c r="F2" s="259"/>
      <c r="G2" s="341"/>
      <c r="I2" s="310"/>
      <c r="J2" s="310"/>
      <c r="K2" s="349"/>
      <c r="L2" s="285"/>
    </row>
    <row r="3" spans="1:12" s="261" customFormat="1" ht="16.5" thickBot="1" x14ac:dyDescent="0.3">
      <c r="A3" s="306"/>
      <c r="B3" s="321" t="s">
        <v>399</v>
      </c>
      <c r="C3" s="308"/>
      <c r="D3" s="342"/>
      <c r="E3" s="260"/>
      <c r="F3" s="260"/>
      <c r="G3" s="342"/>
      <c r="I3" s="311"/>
      <c r="J3" s="311"/>
      <c r="K3" s="349"/>
      <c r="L3" s="286"/>
    </row>
    <row r="4" spans="1:12" s="206" customFormat="1" ht="28.5" x14ac:dyDescent="0.2">
      <c r="A4" s="305"/>
      <c r="B4" s="444" t="s">
        <v>167</v>
      </c>
      <c r="C4" s="445" t="s">
        <v>295</v>
      </c>
      <c r="D4" s="446" t="s">
        <v>174</v>
      </c>
      <c r="E4" s="446" t="s">
        <v>173</v>
      </c>
      <c r="F4" s="446" t="s">
        <v>175</v>
      </c>
      <c r="G4" s="446" t="s">
        <v>110</v>
      </c>
      <c r="H4" s="447" t="s">
        <v>381</v>
      </c>
      <c r="I4" s="448" t="s">
        <v>111</v>
      </c>
      <c r="J4" s="448" t="s">
        <v>69</v>
      </c>
      <c r="K4" s="445" t="s">
        <v>38</v>
      </c>
      <c r="L4" s="449" t="s">
        <v>92</v>
      </c>
    </row>
    <row r="5" spans="1:12" s="237" customFormat="1" ht="20.25" x14ac:dyDescent="0.3">
      <c r="A5" s="305"/>
      <c r="B5" s="505" t="s">
        <v>98</v>
      </c>
      <c r="C5" s="467"/>
      <c r="D5" s="468"/>
      <c r="E5" s="468"/>
      <c r="F5" s="468"/>
      <c r="G5" s="468"/>
      <c r="H5" s="506"/>
      <c r="I5" s="507"/>
      <c r="J5" s="507"/>
      <c r="K5" s="508"/>
      <c r="L5" s="509"/>
    </row>
    <row r="6" spans="1:12" s="520" customFormat="1" x14ac:dyDescent="0.2">
      <c r="A6" s="517">
        <v>1</v>
      </c>
      <c r="B6" s="485" t="s">
        <v>403</v>
      </c>
      <c r="C6" s="486" t="s">
        <v>2752</v>
      </c>
      <c r="D6" s="487" t="s">
        <v>2753</v>
      </c>
      <c r="E6" s="503" t="s">
        <v>2754</v>
      </c>
      <c r="F6" s="504" t="s">
        <v>2755</v>
      </c>
      <c r="G6" s="518" t="s">
        <v>2756</v>
      </c>
      <c r="H6" s="519">
        <v>44928</v>
      </c>
      <c r="I6" s="488">
        <f>K6/1.11</f>
        <v>5648886.4864864862</v>
      </c>
      <c r="J6" s="488">
        <f>I6*11%</f>
        <v>621377.51351351349</v>
      </c>
      <c r="K6" s="489">
        <v>6270264</v>
      </c>
      <c r="L6" s="547"/>
    </row>
    <row r="7" spans="1:12" s="520" customFormat="1" x14ac:dyDescent="0.2">
      <c r="A7" s="517">
        <v>2</v>
      </c>
      <c r="B7" s="469" t="s">
        <v>404</v>
      </c>
      <c r="C7" s="470" t="s">
        <v>2757</v>
      </c>
      <c r="D7" s="464" t="s">
        <v>2758</v>
      </c>
      <c r="E7" s="708" t="s">
        <v>2759</v>
      </c>
      <c r="F7" s="466" t="s">
        <v>2755</v>
      </c>
      <c r="G7" s="518" t="s">
        <v>2760</v>
      </c>
      <c r="H7" s="519">
        <v>44928</v>
      </c>
      <c r="I7" s="473">
        <f>K7/1.11</f>
        <v>3350900.9009009008</v>
      </c>
      <c r="J7" s="473">
        <f>I7*11%</f>
        <v>368599.09909909911</v>
      </c>
      <c r="K7" s="474">
        <v>3719500</v>
      </c>
      <c r="L7" s="475"/>
    </row>
    <row r="8" spans="1:12" s="520" customFormat="1" x14ac:dyDescent="0.2">
      <c r="A8" s="517">
        <v>3</v>
      </c>
      <c r="B8" s="485" t="s">
        <v>405</v>
      </c>
      <c r="C8" s="476" t="s">
        <v>2761</v>
      </c>
      <c r="D8" s="487" t="s">
        <v>2753</v>
      </c>
      <c r="E8" s="503" t="s">
        <v>2754</v>
      </c>
      <c r="F8" s="504" t="s">
        <v>2755</v>
      </c>
      <c r="G8" s="518" t="s">
        <v>2762</v>
      </c>
      <c r="H8" s="519">
        <v>44931</v>
      </c>
      <c r="I8" s="488">
        <f t="shared" ref="I8:I71" si="0">K8/1.11</f>
        <v>7330385.5855855849</v>
      </c>
      <c r="J8" s="488">
        <f t="shared" ref="J8:J71" si="1">I8*11%</f>
        <v>806342.41441441432</v>
      </c>
      <c r="K8" s="474">
        <v>8136728</v>
      </c>
      <c r="L8" s="475"/>
    </row>
    <row r="9" spans="1:12" s="520" customFormat="1" x14ac:dyDescent="0.2">
      <c r="A9" s="517">
        <v>4</v>
      </c>
      <c r="B9" s="469" t="s">
        <v>406</v>
      </c>
      <c r="C9" s="476" t="s">
        <v>2763</v>
      </c>
      <c r="D9" s="487" t="s">
        <v>2753</v>
      </c>
      <c r="E9" s="503" t="s">
        <v>2754</v>
      </c>
      <c r="F9" s="504" t="s">
        <v>2755</v>
      </c>
      <c r="G9" s="518" t="s">
        <v>2764</v>
      </c>
      <c r="H9" s="519">
        <v>44931</v>
      </c>
      <c r="I9" s="473">
        <f t="shared" si="0"/>
        <v>10027102.702702701</v>
      </c>
      <c r="J9" s="473">
        <f t="shared" si="1"/>
        <v>1102981.297297297</v>
      </c>
      <c r="K9" s="474">
        <v>11130084</v>
      </c>
      <c r="L9" s="475"/>
    </row>
    <row r="10" spans="1:12" s="520" customFormat="1" x14ac:dyDescent="0.2">
      <c r="A10" s="517">
        <v>5</v>
      </c>
      <c r="B10" s="485" t="s">
        <v>407</v>
      </c>
      <c r="C10" s="476" t="s">
        <v>2765</v>
      </c>
      <c r="D10" s="487" t="s">
        <v>2766</v>
      </c>
      <c r="E10" s="503" t="s">
        <v>2767</v>
      </c>
      <c r="F10" s="504" t="s">
        <v>2768</v>
      </c>
      <c r="G10" s="518" t="s">
        <v>2769</v>
      </c>
      <c r="H10" s="519">
        <v>44931</v>
      </c>
      <c r="I10" s="488">
        <f t="shared" si="0"/>
        <v>1832935.1351351349</v>
      </c>
      <c r="J10" s="488">
        <f t="shared" si="1"/>
        <v>201622.86486486485</v>
      </c>
      <c r="K10" s="474">
        <v>2034558</v>
      </c>
      <c r="L10" s="475"/>
    </row>
    <row r="11" spans="1:12" s="520" customFormat="1" x14ac:dyDescent="0.2">
      <c r="A11" s="517">
        <v>6</v>
      </c>
      <c r="B11" s="469" t="s">
        <v>408</v>
      </c>
      <c r="C11" s="476" t="s">
        <v>2770</v>
      </c>
      <c r="D11" s="464" t="s">
        <v>2758</v>
      </c>
      <c r="E11" s="708" t="s">
        <v>2759</v>
      </c>
      <c r="F11" s="466" t="s">
        <v>2755</v>
      </c>
      <c r="G11" s="518" t="s">
        <v>2771</v>
      </c>
      <c r="H11" s="519">
        <v>44931</v>
      </c>
      <c r="I11" s="473">
        <f t="shared" si="0"/>
        <v>7608259.4594594585</v>
      </c>
      <c r="J11" s="473">
        <f t="shared" si="1"/>
        <v>836908.54054054047</v>
      </c>
      <c r="K11" s="474">
        <v>8445168</v>
      </c>
      <c r="L11" s="475"/>
    </row>
    <row r="12" spans="1:12" s="520" customFormat="1" x14ac:dyDescent="0.2">
      <c r="A12" s="517">
        <v>7</v>
      </c>
      <c r="B12" s="485" t="s">
        <v>409</v>
      </c>
      <c r="C12" s="476" t="s">
        <v>2772</v>
      </c>
      <c r="D12" s="511" t="s">
        <v>2773</v>
      </c>
      <c r="E12" s="465" t="s">
        <v>2774</v>
      </c>
      <c r="F12" s="510" t="s">
        <v>2755</v>
      </c>
      <c r="G12" s="518" t="s">
        <v>2775</v>
      </c>
      <c r="H12" s="519">
        <v>44933</v>
      </c>
      <c r="I12" s="488">
        <f t="shared" si="0"/>
        <v>264864.86486486485</v>
      </c>
      <c r="J12" s="488">
        <f t="shared" si="1"/>
        <v>29135.135135135133</v>
      </c>
      <c r="K12" s="474">
        <v>294000</v>
      </c>
      <c r="L12" s="475"/>
    </row>
    <row r="13" spans="1:12" s="520" customFormat="1" x14ac:dyDescent="0.2">
      <c r="A13" s="517">
        <v>8</v>
      </c>
      <c r="B13" s="469" t="s">
        <v>410</v>
      </c>
      <c r="C13" s="476" t="s">
        <v>2776</v>
      </c>
      <c r="D13" s="464" t="s">
        <v>2758</v>
      </c>
      <c r="E13" s="708" t="s">
        <v>2759</v>
      </c>
      <c r="F13" s="466" t="s">
        <v>2755</v>
      </c>
      <c r="G13" s="518" t="s">
        <v>2777</v>
      </c>
      <c r="H13" s="519">
        <v>44933</v>
      </c>
      <c r="I13" s="473">
        <f t="shared" si="0"/>
        <v>10243470.270270269</v>
      </c>
      <c r="J13" s="473">
        <f t="shared" si="1"/>
        <v>1126781.7297297297</v>
      </c>
      <c r="K13" s="474">
        <v>11370252</v>
      </c>
      <c r="L13" s="475"/>
    </row>
    <row r="14" spans="1:12" s="520" customFormat="1" x14ac:dyDescent="0.2">
      <c r="A14" s="517">
        <v>9</v>
      </c>
      <c r="B14" s="485" t="s">
        <v>411</v>
      </c>
      <c r="C14" s="476" t="s">
        <v>2778</v>
      </c>
      <c r="D14" s="464" t="s">
        <v>2779</v>
      </c>
      <c r="E14" s="471" t="s">
        <v>2780</v>
      </c>
      <c r="F14" s="471" t="s">
        <v>2755</v>
      </c>
      <c r="G14" s="518" t="s">
        <v>2781</v>
      </c>
      <c r="H14" s="519">
        <v>44933</v>
      </c>
      <c r="I14" s="488">
        <f t="shared" si="0"/>
        <v>1469675.6756756755</v>
      </c>
      <c r="J14" s="488">
        <f t="shared" si="1"/>
        <v>161664.32432432432</v>
      </c>
      <c r="K14" s="474">
        <v>1631340</v>
      </c>
      <c r="L14" s="475"/>
    </row>
    <row r="15" spans="1:12" s="520" customFormat="1" ht="14.25" customHeight="1" x14ac:dyDescent="0.2">
      <c r="A15" s="517">
        <v>10</v>
      </c>
      <c r="B15" s="469" t="s">
        <v>412</v>
      </c>
      <c r="C15" s="476" t="s">
        <v>2782</v>
      </c>
      <c r="D15" s="464" t="s">
        <v>2783</v>
      </c>
      <c r="E15" s="465" t="s">
        <v>2784</v>
      </c>
      <c r="F15" s="466" t="s">
        <v>2785</v>
      </c>
      <c r="G15" s="518" t="s">
        <v>2786</v>
      </c>
      <c r="H15" s="519">
        <v>44933</v>
      </c>
      <c r="I15" s="473">
        <f t="shared" si="0"/>
        <v>16442432.432432432</v>
      </c>
      <c r="J15" s="473">
        <f t="shared" si="1"/>
        <v>1808667.5675675676</v>
      </c>
      <c r="K15" s="474">
        <v>18251100</v>
      </c>
      <c r="L15" s="475"/>
    </row>
    <row r="16" spans="1:12" s="520" customFormat="1" ht="14.25" customHeight="1" x14ac:dyDescent="0.2">
      <c r="A16" s="517">
        <v>11</v>
      </c>
      <c r="B16" s="485" t="s">
        <v>413</v>
      </c>
      <c r="C16" s="476" t="s">
        <v>2787</v>
      </c>
      <c r="D16" s="487" t="s">
        <v>2753</v>
      </c>
      <c r="E16" s="503" t="s">
        <v>2754</v>
      </c>
      <c r="F16" s="504" t="s">
        <v>2755</v>
      </c>
      <c r="G16" s="518" t="s">
        <v>2788</v>
      </c>
      <c r="H16" s="519">
        <v>44935</v>
      </c>
      <c r="I16" s="488">
        <f t="shared" si="0"/>
        <v>23343589.189189188</v>
      </c>
      <c r="J16" s="488">
        <f t="shared" si="1"/>
        <v>2567794.8108108109</v>
      </c>
      <c r="K16" s="474">
        <v>25911384</v>
      </c>
      <c r="L16" s="475"/>
    </row>
    <row r="17" spans="1:12" s="520" customFormat="1" x14ac:dyDescent="0.2">
      <c r="A17" s="517">
        <v>12</v>
      </c>
      <c r="B17" s="469" t="s">
        <v>414</v>
      </c>
      <c r="C17" s="476" t="s">
        <v>2789</v>
      </c>
      <c r="D17" s="487" t="s">
        <v>2790</v>
      </c>
      <c r="E17" s="503" t="s">
        <v>2791</v>
      </c>
      <c r="F17" s="504" t="s">
        <v>2792</v>
      </c>
      <c r="G17" s="518" t="s">
        <v>2793</v>
      </c>
      <c r="H17" s="519">
        <v>44936</v>
      </c>
      <c r="I17" s="473">
        <f t="shared" si="0"/>
        <v>1441081.0810810809</v>
      </c>
      <c r="J17" s="473">
        <f t="shared" si="1"/>
        <v>158518.91891891891</v>
      </c>
      <c r="K17" s="474">
        <v>1599600</v>
      </c>
      <c r="L17" s="475"/>
    </row>
    <row r="18" spans="1:12" s="520" customFormat="1" ht="14.25" customHeight="1" x14ac:dyDescent="0.2">
      <c r="A18" s="517">
        <v>13</v>
      </c>
      <c r="B18" s="485" t="s">
        <v>415</v>
      </c>
      <c r="C18" s="476" t="s">
        <v>2794</v>
      </c>
      <c r="D18" s="464" t="s">
        <v>2758</v>
      </c>
      <c r="E18" s="708" t="s">
        <v>2759</v>
      </c>
      <c r="F18" s="466" t="s">
        <v>2755</v>
      </c>
      <c r="G18" s="518" t="s">
        <v>2795</v>
      </c>
      <c r="H18" s="519">
        <v>44936</v>
      </c>
      <c r="I18" s="488">
        <f t="shared" si="0"/>
        <v>13777345.945945945</v>
      </c>
      <c r="J18" s="488">
        <f t="shared" si="1"/>
        <v>1515508.054054054</v>
      </c>
      <c r="K18" s="474">
        <v>15292854</v>
      </c>
      <c r="L18" s="475"/>
    </row>
    <row r="19" spans="1:12" s="520" customFormat="1" ht="14.25" customHeight="1" x14ac:dyDescent="0.2">
      <c r="A19" s="517">
        <v>14</v>
      </c>
      <c r="B19" s="469" t="s">
        <v>416</v>
      </c>
      <c r="C19" s="476" t="s">
        <v>2796</v>
      </c>
      <c r="D19" s="487" t="s">
        <v>2790</v>
      </c>
      <c r="E19" s="503" t="s">
        <v>2797</v>
      </c>
      <c r="F19" s="504" t="s">
        <v>2792</v>
      </c>
      <c r="G19" s="518" t="s">
        <v>2798</v>
      </c>
      <c r="H19" s="519">
        <v>44936</v>
      </c>
      <c r="I19" s="473">
        <f t="shared" si="0"/>
        <v>1115675.6756756755</v>
      </c>
      <c r="J19" s="473">
        <f t="shared" si="1"/>
        <v>122724.32432432431</v>
      </c>
      <c r="K19" s="474">
        <v>1238400</v>
      </c>
      <c r="L19" s="475"/>
    </row>
    <row r="20" spans="1:12" s="520" customFormat="1" x14ac:dyDescent="0.2">
      <c r="A20" s="517">
        <v>15</v>
      </c>
      <c r="B20" s="485" t="s">
        <v>417</v>
      </c>
      <c r="C20" s="476" t="s">
        <v>2799</v>
      </c>
      <c r="D20" s="487" t="s">
        <v>2753</v>
      </c>
      <c r="E20" s="503" t="s">
        <v>2754</v>
      </c>
      <c r="F20" s="504" t="s">
        <v>2755</v>
      </c>
      <c r="G20" s="518" t="s">
        <v>2800</v>
      </c>
      <c r="H20" s="519">
        <v>44937</v>
      </c>
      <c r="I20" s="488">
        <f t="shared" si="0"/>
        <v>10743167.567567566</v>
      </c>
      <c r="J20" s="488">
        <f t="shared" si="1"/>
        <v>1181748.4324324324</v>
      </c>
      <c r="K20" s="474">
        <v>11924916</v>
      </c>
      <c r="L20" s="475"/>
    </row>
    <row r="21" spans="1:12" s="520" customFormat="1" x14ac:dyDescent="0.2">
      <c r="A21" s="517">
        <v>16</v>
      </c>
      <c r="B21" s="469" t="s">
        <v>418</v>
      </c>
      <c r="C21" s="476" t="s">
        <v>2801</v>
      </c>
      <c r="D21" s="511" t="s">
        <v>2773</v>
      </c>
      <c r="E21" s="465" t="s">
        <v>2774</v>
      </c>
      <c r="F21" s="510" t="s">
        <v>2755</v>
      </c>
      <c r="G21" s="518" t="s">
        <v>2802</v>
      </c>
      <c r="H21" s="519">
        <v>44937</v>
      </c>
      <c r="I21" s="473">
        <f t="shared" si="0"/>
        <v>1617567.5675675673</v>
      </c>
      <c r="J21" s="473">
        <f t="shared" si="1"/>
        <v>177932.4324324324</v>
      </c>
      <c r="K21" s="474">
        <v>1795500</v>
      </c>
      <c r="L21" s="475"/>
    </row>
    <row r="22" spans="1:12" s="520" customFormat="1" x14ac:dyDescent="0.2">
      <c r="A22" s="517">
        <v>17</v>
      </c>
      <c r="B22" s="485" t="s">
        <v>419</v>
      </c>
      <c r="C22" s="476" t="s">
        <v>2803</v>
      </c>
      <c r="D22" s="464" t="s">
        <v>2758</v>
      </c>
      <c r="E22" s="708" t="s">
        <v>2759</v>
      </c>
      <c r="F22" s="466" t="s">
        <v>2755</v>
      </c>
      <c r="G22" s="518" t="s">
        <v>2804</v>
      </c>
      <c r="H22" s="519">
        <v>44937</v>
      </c>
      <c r="I22" s="488">
        <f t="shared" si="0"/>
        <v>25355254.054054052</v>
      </c>
      <c r="J22" s="488">
        <f t="shared" si="1"/>
        <v>2789077.9459459456</v>
      </c>
      <c r="K22" s="474">
        <v>28144332</v>
      </c>
      <c r="L22" s="475"/>
    </row>
    <row r="23" spans="1:12" s="520" customFormat="1" x14ac:dyDescent="0.2">
      <c r="A23" s="517">
        <v>18</v>
      </c>
      <c r="B23" s="469" t="s">
        <v>420</v>
      </c>
      <c r="C23" s="476" t="s">
        <v>2805</v>
      </c>
      <c r="D23" s="464" t="s">
        <v>2806</v>
      </c>
      <c r="E23" s="465" t="s">
        <v>2807</v>
      </c>
      <c r="F23" s="466" t="s">
        <v>2808</v>
      </c>
      <c r="G23" s="518" t="s">
        <v>2809</v>
      </c>
      <c r="H23" s="519">
        <v>44936</v>
      </c>
      <c r="I23" s="473">
        <f t="shared" si="0"/>
        <v>7968648.6486486476</v>
      </c>
      <c r="J23" s="473">
        <f t="shared" si="1"/>
        <v>876551.35135135124</v>
      </c>
      <c r="K23" s="474">
        <v>8845200</v>
      </c>
      <c r="L23" s="475"/>
    </row>
    <row r="24" spans="1:12" s="520" customFormat="1" x14ac:dyDescent="0.2">
      <c r="A24" s="517">
        <v>19</v>
      </c>
      <c r="B24" s="485" t="s">
        <v>421</v>
      </c>
      <c r="C24" s="476" t="s">
        <v>2810</v>
      </c>
      <c r="D24" s="464" t="s">
        <v>2783</v>
      </c>
      <c r="E24" s="465" t="s">
        <v>2784</v>
      </c>
      <c r="F24" s="466" t="s">
        <v>2785</v>
      </c>
      <c r="G24" s="518" t="s">
        <v>2811</v>
      </c>
      <c r="H24" s="477">
        <v>44937</v>
      </c>
      <c r="I24" s="488">
        <f t="shared" si="0"/>
        <v>23962387.387387384</v>
      </c>
      <c r="J24" s="488">
        <f t="shared" si="1"/>
        <v>2635862.6126126121</v>
      </c>
      <c r="K24" s="474">
        <v>26598250</v>
      </c>
      <c r="L24" s="475"/>
    </row>
    <row r="25" spans="1:12" s="520" customFormat="1" x14ac:dyDescent="0.2">
      <c r="A25" s="517">
        <v>20</v>
      </c>
      <c r="B25" s="469" t="s">
        <v>422</v>
      </c>
      <c r="C25" s="476" t="s">
        <v>2812</v>
      </c>
      <c r="D25" s="464" t="s">
        <v>2783</v>
      </c>
      <c r="E25" s="465" t="s">
        <v>2784</v>
      </c>
      <c r="F25" s="466" t="s">
        <v>2785</v>
      </c>
      <c r="G25" s="518" t="s">
        <v>2813</v>
      </c>
      <c r="H25" s="477">
        <v>44938</v>
      </c>
      <c r="I25" s="473">
        <f t="shared" si="0"/>
        <v>78810225.225225225</v>
      </c>
      <c r="J25" s="473">
        <f t="shared" si="1"/>
        <v>8669124.7747747749</v>
      </c>
      <c r="K25" s="474">
        <v>87479350</v>
      </c>
      <c r="L25" s="475"/>
    </row>
    <row r="26" spans="1:12" s="520" customFormat="1" x14ac:dyDescent="0.2">
      <c r="A26" s="517">
        <v>21</v>
      </c>
      <c r="B26" s="485" t="s">
        <v>423</v>
      </c>
      <c r="C26" s="476" t="s">
        <v>2814</v>
      </c>
      <c r="D26" s="464" t="s">
        <v>2783</v>
      </c>
      <c r="E26" s="465" t="s">
        <v>2784</v>
      </c>
      <c r="F26" s="466" t="s">
        <v>2785</v>
      </c>
      <c r="G26" s="518" t="s">
        <v>2815</v>
      </c>
      <c r="H26" s="477">
        <v>44938</v>
      </c>
      <c r="I26" s="488">
        <f t="shared" si="0"/>
        <v>24418963.963963963</v>
      </c>
      <c r="J26" s="488">
        <f t="shared" si="1"/>
        <v>2686086.036036036</v>
      </c>
      <c r="K26" s="474">
        <v>27105050</v>
      </c>
      <c r="L26" s="475"/>
    </row>
    <row r="27" spans="1:12" s="520" customFormat="1" x14ac:dyDescent="0.2">
      <c r="A27" s="517">
        <v>22</v>
      </c>
      <c r="B27" s="469" t="s">
        <v>424</v>
      </c>
      <c r="C27" s="476" t="s">
        <v>2816</v>
      </c>
      <c r="D27" s="464" t="s">
        <v>2779</v>
      </c>
      <c r="E27" s="471" t="s">
        <v>2780</v>
      </c>
      <c r="F27" s="471" t="s">
        <v>2755</v>
      </c>
      <c r="G27" s="518" t="s">
        <v>2817</v>
      </c>
      <c r="H27" s="477">
        <v>44938</v>
      </c>
      <c r="I27" s="473">
        <f t="shared" si="0"/>
        <v>987567.56756756746</v>
      </c>
      <c r="J27" s="473">
        <f t="shared" si="1"/>
        <v>108632.43243243243</v>
      </c>
      <c r="K27" s="474">
        <v>1096200</v>
      </c>
      <c r="L27" s="475"/>
    </row>
    <row r="28" spans="1:12" s="520" customFormat="1" x14ac:dyDescent="0.2">
      <c r="A28" s="517">
        <v>23</v>
      </c>
      <c r="B28" s="485" t="s">
        <v>425</v>
      </c>
      <c r="C28" s="476" t="s">
        <v>2818</v>
      </c>
      <c r="D28" s="464" t="s">
        <v>2758</v>
      </c>
      <c r="E28" s="708" t="s">
        <v>2759</v>
      </c>
      <c r="F28" s="466" t="s">
        <v>2755</v>
      </c>
      <c r="G28" s="518" t="s">
        <v>2819</v>
      </c>
      <c r="H28" s="477">
        <v>44938</v>
      </c>
      <c r="I28" s="488">
        <f t="shared" si="0"/>
        <v>3195045.0450450447</v>
      </c>
      <c r="J28" s="488">
        <f t="shared" si="1"/>
        <v>351454.95495495491</v>
      </c>
      <c r="K28" s="474">
        <v>3546500</v>
      </c>
      <c r="L28" s="475"/>
    </row>
    <row r="29" spans="1:12" s="520" customFormat="1" x14ac:dyDescent="0.2">
      <c r="A29" s="517">
        <v>24</v>
      </c>
      <c r="B29" s="469" t="s">
        <v>426</v>
      </c>
      <c r="C29" s="476" t="s">
        <v>2820</v>
      </c>
      <c r="D29" s="464" t="s">
        <v>2821</v>
      </c>
      <c r="E29" s="471" t="s">
        <v>2822</v>
      </c>
      <c r="F29" s="471" t="s">
        <v>2823</v>
      </c>
      <c r="G29" s="518" t="s">
        <v>2824</v>
      </c>
      <c r="H29" s="477">
        <v>44938</v>
      </c>
      <c r="I29" s="473">
        <f t="shared" si="0"/>
        <v>9336486.4864864852</v>
      </c>
      <c r="J29" s="473">
        <f t="shared" si="1"/>
        <v>1027013.5135135134</v>
      </c>
      <c r="K29" s="474">
        <v>10363500</v>
      </c>
      <c r="L29" s="475"/>
    </row>
    <row r="30" spans="1:12" s="520" customFormat="1" x14ac:dyDescent="0.2">
      <c r="A30" s="517">
        <v>25</v>
      </c>
      <c r="B30" s="485" t="s">
        <v>427</v>
      </c>
      <c r="C30" s="476" t="s">
        <v>2825</v>
      </c>
      <c r="D30" s="487" t="s">
        <v>2826</v>
      </c>
      <c r="E30" s="503" t="s">
        <v>2827</v>
      </c>
      <c r="F30" s="504" t="s">
        <v>2828</v>
      </c>
      <c r="G30" s="518" t="s">
        <v>2829</v>
      </c>
      <c r="H30" s="477">
        <v>44940</v>
      </c>
      <c r="I30" s="488">
        <f t="shared" si="0"/>
        <v>5837837.8378378376</v>
      </c>
      <c r="J30" s="488">
        <f t="shared" si="1"/>
        <v>642162.16216216213</v>
      </c>
      <c r="K30" s="474">
        <v>6480000</v>
      </c>
      <c r="L30" s="475"/>
    </row>
    <row r="31" spans="1:12" s="521" customFormat="1" x14ac:dyDescent="0.2">
      <c r="A31" s="517">
        <v>26</v>
      </c>
      <c r="B31" s="469" t="s">
        <v>428</v>
      </c>
      <c r="C31" s="476" t="s">
        <v>2830</v>
      </c>
      <c r="D31" s="464" t="s">
        <v>2758</v>
      </c>
      <c r="E31" s="708" t="s">
        <v>2759</v>
      </c>
      <c r="F31" s="466" t="s">
        <v>2755</v>
      </c>
      <c r="G31" s="518" t="s">
        <v>2831</v>
      </c>
      <c r="H31" s="477">
        <v>44940</v>
      </c>
      <c r="I31" s="473">
        <f t="shared" si="0"/>
        <v>654594.59459459456</v>
      </c>
      <c r="J31" s="473">
        <f t="shared" si="1"/>
        <v>72005.4054054054</v>
      </c>
      <c r="K31" s="474">
        <v>726600</v>
      </c>
      <c r="L31" s="475"/>
    </row>
    <row r="32" spans="1:12" s="521" customFormat="1" x14ac:dyDescent="0.2">
      <c r="A32" s="517">
        <v>27</v>
      </c>
      <c r="B32" s="485" t="s">
        <v>429</v>
      </c>
      <c r="C32" s="476" t="s">
        <v>2832</v>
      </c>
      <c r="D32" s="464" t="s">
        <v>2806</v>
      </c>
      <c r="E32" s="465" t="s">
        <v>2807</v>
      </c>
      <c r="F32" s="466" t="s">
        <v>2808</v>
      </c>
      <c r="G32" s="518" t="s">
        <v>2833</v>
      </c>
      <c r="H32" s="477">
        <v>44939</v>
      </c>
      <c r="I32" s="488">
        <f t="shared" si="0"/>
        <v>2213513.5135135134</v>
      </c>
      <c r="J32" s="488">
        <f t="shared" si="1"/>
        <v>243486.48648648648</v>
      </c>
      <c r="K32" s="474">
        <v>2457000</v>
      </c>
      <c r="L32" s="475"/>
    </row>
    <row r="33" spans="1:12" s="521" customFormat="1" x14ac:dyDescent="0.2">
      <c r="A33" s="517">
        <v>28</v>
      </c>
      <c r="B33" s="469" t="s">
        <v>430</v>
      </c>
      <c r="C33" s="476" t="s">
        <v>2834</v>
      </c>
      <c r="D33" s="464" t="s">
        <v>2783</v>
      </c>
      <c r="E33" s="465" t="s">
        <v>2784</v>
      </c>
      <c r="F33" s="466" t="s">
        <v>2785</v>
      </c>
      <c r="G33" s="518" t="s">
        <v>2835</v>
      </c>
      <c r="H33" s="477">
        <v>44943</v>
      </c>
      <c r="I33" s="473">
        <f t="shared" si="0"/>
        <v>4398963.963963964</v>
      </c>
      <c r="J33" s="473">
        <f t="shared" si="1"/>
        <v>483886.03603603604</v>
      </c>
      <c r="K33" s="474">
        <v>4882850</v>
      </c>
      <c r="L33" s="475"/>
    </row>
    <row r="34" spans="1:12" s="521" customFormat="1" x14ac:dyDescent="0.2">
      <c r="A34" s="517">
        <v>29</v>
      </c>
      <c r="B34" s="485" t="s">
        <v>431</v>
      </c>
      <c r="C34" s="476" t="s">
        <v>2836</v>
      </c>
      <c r="D34" s="464" t="s">
        <v>2783</v>
      </c>
      <c r="E34" s="465" t="s">
        <v>2784</v>
      </c>
      <c r="F34" s="466" t="s">
        <v>2785</v>
      </c>
      <c r="G34" s="518" t="s">
        <v>2837</v>
      </c>
      <c r="H34" s="477">
        <v>44944</v>
      </c>
      <c r="I34" s="488">
        <f t="shared" si="0"/>
        <v>3878378.3783783782</v>
      </c>
      <c r="J34" s="488">
        <f t="shared" si="1"/>
        <v>426621.6216216216</v>
      </c>
      <c r="K34" s="474">
        <v>4305000</v>
      </c>
      <c r="L34" s="475"/>
    </row>
    <row r="35" spans="1:12" s="521" customFormat="1" x14ac:dyDescent="0.2">
      <c r="A35" s="517">
        <v>30</v>
      </c>
      <c r="B35" s="469" t="s">
        <v>432</v>
      </c>
      <c r="C35" s="476" t="s">
        <v>2838</v>
      </c>
      <c r="D35" s="464" t="s">
        <v>2758</v>
      </c>
      <c r="E35" s="708" t="s">
        <v>2759</v>
      </c>
      <c r="F35" s="466" t="s">
        <v>2755</v>
      </c>
      <c r="G35" s="518" t="s">
        <v>2839</v>
      </c>
      <c r="H35" s="477">
        <v>44945</v>
      </c>
      <c r="I35" s="473">
        <f t="shared" si="0"/>
        <v>6960366.666666666</v>
      </c>
      <c r="J35" s="473">
        <f t="shared" si="1"/>
        <v>765640.33333333326</v>
      </c>
      <c r="K35" s="474">
        <v>7726007</v>
      </c>
      <c r="L35" s="475"/>
    </row>
    <row r="36" spans="1:12" s="521" customFormat="1" x14ac:dyDescent="0.2">
      <c r="A36" s="517">
        <v>31</v>
      </c>
      <c r="B36" s="485" t="s">
        <v>433</v>
      </c>
      <c r="C36" s="476" t="s">
        <v>2840</v>
      </c>
      <c r="D36" s="464" t="s">
        <v>2821</v>
      </c>
      <c r="E36" s="471" t="s">
        <v>2822</v>
      </c>
      <c r="F36" s="471" t="s">
        <v>2823</v>
      </c>
      <c r="G36" s="518" t="s">
        <v>2841</v>
      </c>
      <c r="H36" s="477">
        <v>44944</v>
      </c>
      <c r="I36" s="488">
        <f t="shared" si="0"/>
        <v>2428243.2432432431</v>
      </c>
      <c r="J36" s="488">
        <f t="shared" si="1"/>
        <v>267106.75675675675</v>
      </c>
      <c r="K36" s="474">
        <v>2695350</v>
      </c>
      <c r="L36" s="475"/>
    </row>
    <row r="37" spans="1:12" s="521" customFormat="1" x14ac:dyDescent="0.2">
      <c r="A37" s="517">
        <v>32</v>
      </c>
      <c r="B37" s="469" t="s">
        <v>434</v>
      </c>
      <c r="C37" s="476" t="s">
        <v>2842</v>
      </c>
      <c r="D37" s="487" t="s">
        <v>2753</v>
      </c>
      <c r="E37" s="503" t="s">
        <v>2754</v>
      </c>
      <c r="F37" s="504" t="s">
        <v>2755</v>
      </c>
      <c r="G37" s="518" t="s">
        <v>2843</v>
      </c>
      <c r="H37" s="477">
        <v>44946</v>
      </c>
      <c r="I37" s="473">
        <f t="shared" si="0"/>
        <v>2109710.8108108104</v>
      </c>
      <c r="J37" s="473">
        <f t="shared" si="1"/>
        <v>232068.18918918914</v>
      </c>
      <c r="K37" s="474">
        <v>2341779</v>
      </c>
      <c r="L37" s="475"/>
    </row>
    <row r="38" spans="1:12" s="521" customFormat="1" x14ac:dyDescent="0.2">
      <c r="A38" s="517">
        <v>33</v>
      </c>
      <c r="B38" s="485" t="s">
        <v>435</v>
      </c>
      <c r="C38" s="476" t="s">
        <v>2844</v>
      </c>
      <c r="D38" s="464" t="s">
        <v>2758</v>
      </c>
      <c r="E38" s="708" t="s">
        <v>2759</v>
      </c>
      <c r="F38" s="466" t="s">
        <v>2755</v>
      </c>
      <c r="G38" s="518" t="s">
        <v>2845</v>
      </c>
      <c r="H38" s="477">
        <v>44946</v>
      </c>
      <c r="I38" s="488">
        <f t="shared" si="0"/>
        <v>1102680.1801801801</v>
      </c>
      <c r="J38" s="488">
        <f t="shared" si="1"/>
        <v>121294.81981981981</v>
      </c>
      <c r="K38" s="474">
        <v>1223975</v>
      </c>
      <c r="L38" s="478"/>
    </row>
    <row r="39" spans="1:12" s="521" customFormat="1" x14ac:dyDescent="0.2">
      <c r="A39" s="517">
        <v>34</v>
      </c>
      <c r="B39" s="469" t="s">
        <v>436</v>
      </c>
      <c r="C39" s="476" t="s">
        <v>2846</v>
      </c>
      <c r="D39" s="487" t="s">
        <v>2753</v>
      </c>
      <c r="E39" s="503" t="s">
        <v>2754</v>
      </c>
      <c r="F39" s="504" t="s">
        <v>2755</v>
      </c>
      <c r="G39" s="518" t="s">
        <v>2847</v>
      </c>
      <c r="H39" s="477">
        <v>44952</v>
      </c>
      <c r="I39" s="473">
        <f t="shared" si="0"/>
        <v>10908918.918918919</v>
      </c>
      <c r="J39" s="473">
        <f t="shared" si="1"/>
        <v>1199981.0810810812</v>
      </c>
      <c r="K39" s="474">
        <v>12108900</v>
      </c>
      <c r="L39" s="475"/>
    </row>
    <row r="40" spans="1:12" s="521" customFormat="1" x14ac:dyDescent="0.2">
      <c r="A40" s="517">
        <v>35</v>
      </c>
      <c r="B40" s="485" t="s">
        <v>437</v>
      </c>
      <c r="C40" s="476" t="s">
        <v>2848</v>
      </c>
      <c r="D40" s="464" t="s">
        <v>2849</v>
      </c>
      <c r="E40" s="471" t="s">
        <v>2850</v>
      </c>
      <c r="F40" s="471" t="s">
        <v>2851</v>
      </c>
      <c r="G40" s="518" t="s">
        <v>2852</v>
      </c>
      <c r="H40" s="477">
        <v>44953</v>
      </c>
      <c r="I40" s="488">
        <f t="shared" si="0"/>
        <v>2697189.1891891891</v>
      </c>
      <c r="J40" s="488">
        <f t="shared" si="1"/>
        <v>296690.81081081083</v>
      </c>
      <c r="K40" s="474">
        <v>2993880</v>
      </c>
      <c r="L40" s="475"/>
    </row>
    <row r="41" spans="1:12" s="521" customFormat="1" x14ac:dyDescent="0.2">
      <c r="A41" s="517">
        <v>36</v>
      </c>
      <c r="B41" s="469" t="s">
        <v>438</v>
      </c>
      <c r="C41" s="476" t="s">
        <v>2853</v>
      </c>
      <c r="D41" s="464" t="s">
        <v>2849</v>
      </c>
      <c r="E41" s="471" t="s">
        <v>2850</v>
      </c>
      <c r="F41" s="471" t="s">
        <v>2851</v>
      </c>
      <c r="G41" s="518" t="s">
        <v>2854</v>
      </c>
      <c r="H41" s="477">
        <v>44953</v>
      </c>
      <c r="I41" s="473">
        <f t="shared" si="0"/>
        <v>127009.00900900899</v>
      </c>
      <c r="J41" s="473">
        <f t="shared" si="1"/>
        <v>13970.990990990989</v>
      </c>
      <c r="K41" s="474">
        <v>140980</v>
      </c>
      <c r="L41" s="475"/>
    </row>
    <row r="42" spans="1:12" s="521" customFormat="1" x14ac:dyDescent="0.2">
      <c r="A42" s="517">
        <v>37</v>
      </c>
      <c r="B42" s="485" t="s">
        <v>439</v>
      </c>
      <c r="C42" s="476" t="s">
        <v>2855</v>
      </c>
      <c r="D42" s="464" t="s">
        <v>2856</v>
      </c>
      <c r="E42" s="465" t="s">
        <v>2857</v>
      </c>
      <c r="F42" s="466" t="s">
        <v>2858</v>
      </c>
      <c r="G42" s="518" t="s">
        <v>2859</v>
      </c>
      <c r="H42" s="477">
        <v>44953</v>
      </c>
      <c r="I42" s="488">
        <f t="shared" si="0"/>
        <v>2714108.1081081079</v>
      </c>
      <c r="J42" s="488">
        <f t="shared" si="1"/>
        <v>298551.89189189189</v>
      </c>
      <c r="K42" s="474">
        <v>3012660</v>
      </c>
      <c r="L42" s="475"/>
    </row>
    <row r="43" spans="1:12" s="521" customFormat="1" x14ac:dyDescent="0.2">
      <c r="A43" s="517">
        <v>38</v>
      </c>
      <c r="B43" s="469" t="s">
        <v>440</v>
      </c>
      <c r="C43" s="476" t="s">
        <v>2860</v>
      </c>
      <c r="D43" s="487" t="s">
        <v>2753</v>
      </c>
      <c r="E43" s="503" t="s">
        <v>2754</v>
      </c>
      <c r="F43" s="504" t="s">
        <v>2755</v>
      </c>
      <c r="G43" s="518" t="s">
        <v>2861</v>
      </c>
      <c r="H43" s="477">
        <v>44954</v>
      </c>
      <c r="I43" s="473">
        <f t="shared" si="0"/>
        <v>1667578.3783783782</v>
      </c>
      <c r="J43" s="473">
        <f t="shared" si="1"/>
        <v>183433.6216216216</v>
      </c>
      <c r="K43" s="474">
        <v>1851012</v>
      </c>
      <c r="L43" s="475"/>
    </row>
    <row r="44" spans="1:12" s="521" customFormat="1" x14ac:dyDescent="0.2">
      <c r="A44" s="517">
        <v>39</v>
      </c>
      <c r="B44" s="485" t="s">
        <v>441</v>
      </c>
      <c r="C44" s="476" t="s">
        <v>2862</v>
      </c>
      <c r="D44" s="464" t="s">
        <v>2758</v>
      </c>
      <c r="E44" s="708" t="s">
        <v>2759</v>
      </c>
      <c r="F44" s="466" t="s">
        <v>2755</v>
      </c>
      <c r="G44" s="518" t="s">
        <v>2863</v>
      </c>
      <c r="H44" s="477">
        <v>44956</v>
      </c>
      <c r="I44" s="488">
        <f t="shared" si="0"/>
        <v>6302810.81081081</v>
      </c>
      <c r="J44" s="488">
        <f t="shared" si="1"/>
        <v>693309.18918918911</v>
      </c>
      <c r="K44" s="474">
        <v>6996120</v>
      </c>
      <c r="L44" s="475"/>
    </row>
    <row r="45" spans="1:12" s="521" customFormat="1" x14ac:dyDescent="0.2">
      <c r="A45" s="517">
        <v>40</v>
      </c>
      <c r="B45" s="469" t="s">
        <v>442</v>
      </c>
      <c r="C45" s="476" t="s">
        <v>2864</v>
      </c>
      <c r="D45" s="487" t="s">
        <v>2790</v>
      </c>
      <c r="E45" s="503" t="s">
        <v>2797</v>
      </c>
      <c r="F45" s="504" t="s">
        <v>2792</v>
      </c>
      <c r="G45" s="518" t="s">
        <v>2865</v>
      </c>
      <c r="H45" s="477">
        <v>44956</v>
      </c>
      <c r="I45" s="473">
        <f t="shared" si="0"/>
        <v>1231891.8918918918</v>
      </c>
      <c r="J45" s="473">
        <f t="shared" si="1"/>
        <v>135508.10810810811</v>
      </c>
      <c r="K45" s="474">
        <v>1367400</v>
      </c>
      <c r="L45" s="475"/>
    </row>
    <row r="46" spans="1:12" s="521" customFormat="1" x14ac:dyDescent="0.2">
      <c r="A46" s="517">
        <v>41</v>
      </c>
      <c r="B46" s="469" t="s">
        <v>443</v>
      </c>
      <c r="C46" s="476" t="s">
        <v>2866</v>
      </c>
      <c r="D46" s="464" t="s">
        <v>2849</v>
      </c>
      <c r="E46" s="471" t="s">
        <v>2850</v>
      </c>
      <c r="F46" s="471" t="s">
        <v>2851</v>
      </c>
      <c r="G46" s="518" t="s">
        <v>2867</v>
      </c>
      <c r="H46" s="477">
        <v>44956</v>
      </c>
      <c r="I46" s="488">
        <f t="shared" si="0"/>
        <v>633162.16216216213</v>
      </c>
      <c r="J46" s="488">
        <f t="shared" si="1"/>
        <v>69647.83783783784</v>
      </c>
      <c r="K46" s="474">
        <v>702810</v>
      </c>
      <c r="L46" s="475"/>
    </row>
    <row r="47" spans="1:12" s="521" customFormat="1" x14ac:dyDescent="0.2">
      <c r="A47" s="517">
        <v>42</v>
      </c>
      <c r="B47" s="485" t="s">
        <v>444</v>
      </c>
      <c r="C47" s="476" t="s">
        <v>2868</v>
      </c>
      <c r="D47" s="487" t="s">
        <v>2753</v>
      </c>
      <c r="E47" s="503" t="s">
        <v>2754</v>
      </c>
      <c r="F47" s="504" t="s">
        <v>2755</v>
      </c>
      <c r="G47" s="518" t="s">
        <v>2869</v>
      </c>
      <c r="H47" s="477">
        <v>44957</v>
      </c>
      <c r="I47" s="473">
        <f t="shared" si="0"/>
        <v>11995183.783783782</v>
      </c>
      <c r="J47" s="473">
        <f t="shared" si="1"/>
        <v>1319470.2162162161</v>
      </c>
      <c r="K47" s="474">
        <v>13314654</v>
      </c>
      <c r="L47" s="475"/>
    </row>
    <row r="48" spans="1:12" s="521" customFormat="1" x14ac:dyDescent="0.2">
      <c r="A48" s="517">
        <v>43</v>
      </c>
      <c r="B48" s="469" t="s">
        <v>445</v>
      </c>
      <c r="C48" s="476" t="s">
        <v>2870</v>
      </c>
      <c r="D48" s="464" t="s">
        <v>2871</v>
      </c>
      <c r="E48" s="465" t="s">
        <v>2872</v>
      </c>
      <c r="F48" s="466" t="s">
        <v>2873</v>
      </c>
      <c r="G48" s="518" t="s">
        <v>2874</v>
      </c>
      <c r="H48" s="477">
        <v>44957</v>
      </c>
      <c r="I48" s="488">
        <f t="shared" si="0"/>
        <v>112864.86486486485</v>
      </c>
      <c r="J48" s="488">
        <f t="shared" si="1"/>
        <v>12415.135135135133</v>
      </c>
      <c r="K48" s="474">
        <v>125280</v>
      </c>
      <c r="L48" s="475"/>
    </row>
    <row r="49" spans="1:12" x14ac:dyDescent="0.2">
      <c r="A49" s="305">
        <v>44</v>
      </c>
      <c r="B49" s="485" t="s">
        <v>446</v>
      </c>
      <c r="C49" s="476" t="s">
        <v>2875</v>
      </c>
      <c r="D49" s="464"/>
      <c r="E49" s="465" t="s">
        <v>2876</v>
      </c>
      <c r="F49" s="466" t="s">
        <v>2877</v>
      </c>
      <c r="G49" s="518"/>
      <c r="H49" s="477">
        <v>44928</v>
      </c>
      <c r="I49" s="473">
        <f t="shared" si="0"/>
        <v>2188800</v>
      </c>
      <c r="J49" s="473">
        <f t="shared" si="1"/>
        <v>240768</v>
      </c>
      <c r="K49" s="474">
        <v>2429568</v>
      </c>
      <c r="L49" s="475"/>
    </row>
    <row r="50" spans="1:12" x14ac:dyDescent="0.2">
      <c r="A50" s="305">
        <v>45</v>
      </c>
      <c r="B50" s="469" t="s">
        <v>447</v>
      </c>
      <c r="C50" s="476" t="s">
        <v>2977</v>
      </c>
      <c r="D50" s="464"/>
      <c r="E50" s="465" t="s">
        <v>2878</v>
      </c>
      <c r="F50" s="466" t="s">
        <v>2879</v>
      </c>
      <c r="G50" s="518"/>
      <c r="H50" s="477">
        <v>44928</v>
      </c>
      <c r="I50" s="488">
        <f t="shared" si="0"/>
        <v>1698851.3513513512</v>
      </c>
      <c r="J50" s="488">
        <f t="shared" si="1"/>
        <v>186873.64864864864</v>
      </c>
      <c r="K50" s="474">
        <f>180000+1705725</f>
        <v>1885725</v>
      </c>
      <c r="L50" s="475"/>
    </row>
    <row r="51" spans="1:12" x14ac:dyDescent="0.2">
      <c r="A51" s="305">
        <v>46</v>
      </c>
      <c r="B51" s="485" t="s">
        <v>448</v>
      </c>
      <c r="C51" s="476" t="s">
        <v>2880</v>
      </c>
      <c r="D51" s="464"/>
      <c r="E51" s="465" t="s">
        <v>2881</v>
      </c>
      <c r="F51" s="466" t="s">
        <v>2882</v>
      </c>
      <c r="G51" s="518"/>
      <c r="H51" s="477">
        <v>44930</v>
      </c>
      <c r="I51" s="473">
        <f t="shared" si="0"/>
        <v>855855.85585585574</v>
      </c>
      <c r="J51" s="473">
        <f t="shared" si="1"/>
        <v>94144.144144144127</v>
      </c>
      <c r="K51" s="474">
        <v>950000</v>
      </c>
      <c r="L51" s="475"/>
    </row>
    <row r="52" spans="1:12" x14ac:dyDescent="0.2">
      <c r="A52" s="305">
        <v>47</v>
      </c>
      <c r="B52" s="469" t="s">
        <v>449</v>
      </c>
      <c r="C52" s="476" t="s">
        <v>3114</v>
      </c>
      <c r="D52" s="464"/>
      <c r="E52" s="465" t="s">
        <v>2883</v>
      </c>
      <c r="F52" s="466" t="s">
        <v>2884</v>
      </c>
      <c r="G52" s="518"/>
      <c r="H52" s="477">
        <v>44928</v>
      </c>
      <c r="I52" s="488">
        <f t="shared" si="0"/>
        <v>9537178.3783783782</v>
      </c>
      <c r="J52" s="488">
        <f t="shared" si="1"/>
        <v>1049089.6216216215</v>
      </c>
      <c r="K52" s="474">
        <f>3180600+2031480+5374188</f>
        <v>10586268</v>
      </c>
      <c r="L52" s="475"/>
    </row>
    <row r="53" spans="1:12" x14ac:dyDescent="0.2">
      <c r="A53" s="305">
        <v>48</v>
      </c>
      <c r="B53" s="485" t="s">
        <v>450</v>
      </c>
      <c r="C53" s="476" t="s">
        <v>3102</v>
      </c>
      <c r="D53" s="464"/>
      <c r="E53" s="465" t="s">
        <v>2885</v>
      </c>
      <c r="F53" s="466" t="s">
        <v>2886</v>
      </c>
      <c r="G53" s="518"/>
      <c r="H53" s="477">
        <v>44929</v>
      </c>
      <c r="I53" s="473">
        <f t="shared" si="0"/>
        <v>1018232.4324324323</v>
      </c>
      <c r="J53" s="473">
        <f t="shared" si="1"/>
        <v>112005.56756756756</v>
      </c>
      <c r="K53" s="474">
        <f>911700+218538</f>
        <v>1130238</v>
      </c>
      <c r="L53" s="475"/>
    </row>
    <row r="54" spans="1:12" x14ac:dyDescent="0.2">
      <c r="A54" s="305">
        <v>49</v>
      </c>
      <c r="B54" s="469" t="s">
        <v>451</v>
      </c>
      <c r="C54" s="476" t="s">
        <v>2963</v>
      </c>
      <c r="D54" s="464"/>
      <c r="E54" s="465" t="s">
        <v>2887</v>
      </c>
      <c r="F54" s="466" t="s">
        <v>2888</v>
      </c>
      <c r="G54" s="518"/>
      <c r="H54" s="477">
        <v>44928</v>
      </c>
      <c r="I54" s="488">
        <f t="shared" si="0"/>
        <v>12978437.837837836</v>
      </c>
      <c r="J54" s="488">
        <f t="shared" si="1"/>
        <v>1427628.1621621619</v>
      </c>
      <c r="K54" s="474">
        <f>6809562+4826304+2770200</f>
        <v>14406066</v>
      </c>
      <c r="L54" s="475"/>
    </row>
    <row r="55" spans="1:12" x14ac:dyDescent="0.2">
      <c r="A55" s="305">
        <v>50</v>
      </c>
      <c r="B55" s="485" t="s">
        <v>452</v>
      </c>
      <c r="C55" s="476" t="s">
        <v>2957</v>
      </c>
      <c r="D55" s="464"/>
      <c r="E55" s="465" t="s">
        <v>2889</v>
      </c>
      <c r="F55" s="466" t="s">
        <v>2808</v>
      </c>
      <c r="G55" s="518"/>
      <c r="H55" s="477">
        <v>44928</v>
      </c>
      <c r="I55" s="473">
        <f t="shared" si="0"/>
        <v>31793059.459459458</v>
      </c>
      <c r="J55" s="473">
        <f t="shared" si="1"/>
        <v>3497236.5405405401</v>
      </c>
      <c r="K55" s="474">
        <f>20400984+8979552+5909760</f>
        <v>35290296</v>
      </c>
      <c r="L55" s="475"/>
    </row>
    <row r="56" spans="1:12" x14ac:dyDescent="0.2">
      <c r="A56" s="305">
        <v>51</v>
      </c>
      <c r="B56" s="469" t="s">
        <v>453</v>
      </c>
      <c r="C56" s="476" t="s">
        <v>3048</v>
      </c>
      <c r="D56" s="464"/>
      <c r="E56" s="465" t="s">
        <v>3131</v>
      </c>
      <c r="F56" s="466" t="s">
        <v>2890</v>
      </c>
      <c r="G56" s="518"/>
      <c r="H56" s="477">
        <v>44928</v>
      </c>
      <c r="I56" s="488">
        <f t="shared" si="0"/>
        <v>5351837.8378378376</v>
      </c>
      <c r="J56" s="488">
        <f t="shared" si="1"/>
        <v>588702.16216216213</v>
      </c>
      <c r="K56" s="474">
        <f>2462400+2462400+1015740</f>
        <v>5940540</v>
      </c>
      <c r="L56" s="475"/>
    </row>
    <row r="57" spans="1:12" x14ac:dyDescent="0.2">
      <c r="A57" s="305">
        <v>52</v>
      </c>
      <c r="B57" s="485" t="s">
        <v>454</v>
      </c>
      <c r="C57" s="476" t="s">
        <v>3084</v>
      </c>
      <c r="D57" s="464"/>
      <c r="E57" s="465" t="s">
        <v>2891</v>
      </c>
      <c r="F57" s="466" t="s">
        <v>2892</v>
      </c>
      <c r="G57" s="518"/>
      <c r="H57" s="477">
        <v>44928</v>
      </c>
      <c r="I57" s="473">
        <f t="shared" si="0"/>
        <v>4362810.8108108109</v>
      </c>
      <c r="J57" s="473">
        <f t="shared" si="1"/>
        <v>479909.18918918917</v>
      </c>
      <c r="K57" s="474">
        <f>2523960+1539000+779760</f>
        <v>4842720</v>
      </c>
      <c r="L57" s="475"/>
    </row>
    <row r="58" spans="1:12" x14ac:dyDescent="0.2">
      <c r="A58" s="305">
        <v>53</v>
      </c>
      <c r="B58" s="469" t="s">
        <v>455</v>
      </c>
      <c r="C58" s="476" t="s">
        <v>3038</v>
      </c>
      <c r="D58" s="464"/>
      <c r="E58" s="471" t="s">
        <v>2893</v>
      </c>
      <c r="F58" s="471" t="s">
        <v>2890</v>
      </c>
      <c r="G58" s="518"/>
      <c r="H58" s="472">
        <v>44928</v>
      </c>
      <c r="I58" s="488">
        <f t="shared" si="0"/>
        <v>11497208.108108107</v>
      </c>
      <c r="J58" s="488">
        <f t="shared" si="1"/>
        <v>1264692.8918918918</v>
      </c>
      <c r="K58" s="474">
        <f>5737392+5318784+1705725</f>
        <v>12761901</v>
      </c>
      <c r="L58" s="475"/>
    </row>
    <row r="59" spans="1:12" x14ac:dyDescent="0.2">
      <c r="A59" s="305">
        <v>54</v>
      </c>
      <c r="B59" s="485" t="s">
        <v>456</v>
      </c>
      <c r="C59" s="476" t="s">
        <v>3083</v>
      </c>
      <c r="D59" s="464"/>
      <c r="E59" s="465" t="s">
        <v>2894</v>
      </c>
      <c r="F59" s="466" t="s">
        <v>2851</v>
      </c>
      <c r="G59" s="518"/>
      <c r="H59" s="477">
        <v>44928</v>
      </c>
      <c r="I59" s="473">
        <f t="shared" si="0"/>
        <v>12873989.189189188</v>
      </c>
      <c r="J59" s="473">
        <f t="shared" si="1"/>
        <v>1416138.8108108107</v>
      </c>
      <c r="K59" s="474">
        <f>9640296+3591000+1058832</f>
        <v>14290128</v>
      </c>
      <c r="L59" s="475"/>
    </row>
    <row r="60" spans="1:12" x14ac:dyDescent="0.2">
      <c r="A60" s="305">
        <v>55</v>
      </c>
      <c r="B60" s="469" t="s">
        <v>457</v>
      </c>
      <c r="C60" s="476" t="s">
        <v>2997</v>
      </c>
      <c r="D60" s="464"/>
      <c r="E60" s="465" t="s">
        <v>2895</v>
      </c>
      <c r="F60" s="466" t="s">
        <v>2890</v>
      </c>
      <c r="G60" s="518"/>
      <c r="H60" s="477">
        <v>44928</v>
      </c>
      <c r="I60" s="488">
        <f t="shared" si="0"/>
        <v>6176335.1351351347</v>
      </c>
      <c r="J60" s="488">
        <f t="shared" si="1"/>
        <v>679396.86486486485</v>
      </c>
      <c r="K60" s="474">
        <f>3213432+2462400+1179900</f>
        <v>6855732</v>
      </c>
      <c r="L60" s="475"/>
    </row>
    <row r="61" spans="1:12" x14ac:dyDescent="0.2">
      <c r="A61" s="305">
        <v>56</v>
      </c>
      <c r="B61" s="485" t="s">
        <v>458</v>
      </c>
      <c r="C61" s="476" t="s">
        <v>2896</v>
      </c>
      <c r="D61" s="464"/>
      <c r="E61" s="479" t="s">
        <v>2897</v>
      </c>
      <c r="F61" s="466" t="s">
        <v>2879</v>
      </c>
      <c r="G61" s="518"/>
      <c r="H61" s="477">
        <v>44929</v>
      </c>
      <c r="I61" s="473">
        <f t="shared" si="0"/>
        <v>1486486.4864864864</v>
      </c>
      <c r="J61" s="473">
        <f t="shared" si="1"/>
        <v>163513.51351351349</v>
      </c>
      <c r="K61" s="474">
        <v>1650000</v>
      </c>
      <c r="L61" s="475"/>
    </row>
    <row r="62" spans="1:12" x14ac:dyDescent="0.2">
      <c r="A62" s="305">
        <v>57</v>
      </c>
      <c r="B62" s="469" t="s">
        <v>459</v>
      </c>
      <c r="C62" s="476" t="s">
        <v>2960</v>
      </c>
      <c r="D62" s="464"/>
      <c r="E62" s="465" t="s">
        <v>2898</v>
      </c>
      <c r="F62" s="466" t="s">
        <v>2823</v>
      </c>
      <c r="G62" s="518"/>
      <c r="H62" s="477">
        <v>44930</v>
      </c>
      <c r="I62" s="488">
        <f t="shared" si="0"/>
        <v>24472410.810810808</v>
      </c>
      <c r="J62" s="488">
        <f t="shared" si="1"/>
        <v>2691965.1891891891</v>
      </c>
      <c r="K62" s="474">
        <f>8511696+8433720+10218960</f>
        <v>27164376</v>
      </c>
      <c r="L62" s="475"/>
    </row>
    <row r="63" spans="1:12" x14ac:dyDescent="0.2">
      <c r="A63" s="305">
        <v>58</v>
      </c>
      <c r="B63" s="485" t="s">
        <v>460</v>
      </c>
      <c r="C63" s="476" t="s">
        <v>2899</v>
      </c>
      <c r="D63" s="464"/>
      <c r="E63" s="465" t="s">
        <v>2900</v>
      </c>
      <c r="F63" s="466" t="s">
        <v>2823</v>
      </c>
      <c r="G63" s="518"/>
      <c r="H63" s="477">
        <v>44929</v>
      </c>
      <c r="I63" s="473">
        <f t="shared" si="0"/>
        <v>31789362.162162159</v>
      </c>
      <c r="J63" s="473">
        <f t="shared" si="1"/>
        <v>3496829.8378378376</v>
      </c>
      <c r="K63" s="474">
        <f>13986432+6525360+14774400</f>
        <v>35286192</v>
      </c>
      <c r="L63" s="475"/>
    </row>
    <row r="64" spans="1:12" x14ac:dyDescent="0.2">
      <c r="A64" s="305">
        <v>59</v>
      </c>
      <c r="B64" s="469" t="s">
        <v>461</v>
      </c>
      <c r="C64" s="476" t="s">
        <v>2901</v>
      </c>
      <c r="D64" s="464"/>
      <c r="E64" s="465" t="s">
        <v>2902</v>
      </c>
      <c r="F64" s="466" t="s">
        <v>2823</v>
      </c>
      <c r="G64" s="518"/>
      <c r="H64" s="477">
        <v>44929</v>
      </c>
      <c r="I64" s="488">
        <f t="shared" si="0"/>
        <v>189189.18918918917</v>
      </c>
      <c r="J64" s="488">
        <f t="shared" si="1"/>
        <v>20810.81081081081</v>
      </c>
      <c r="K64" s="474">
        <v>210000</v>
      </c>
      <c r="L64" s="475"/>
    </row>
    <row r="65" spans="1:12" x14ac:dyDescent="0.2">
      <c r="A65" s="305">
        <v>60</v>
      </c>
      <c r="B65" s="485" t="s">
        <v>462</v>
      </c>
      <c r="C65" s="476" t="s">
        <v>2903</v>
      </c>
      <c r="D65" s="464"/>
      <c r="E65" s="465" t="s">
        <v>2900</v>
      </c>
      <c r="F65" s="466" t="s">
        <v>2823</v>
      </c>
      <c r="G65" s="518"/>
      <c r="H65" s="477">
        <v>44930</v>
      </c>
      <c r="I65" s="473">
        <f t="shared" si="0"/>
        <v>29101427.027027026</v>
      </c>
      <c r="J65" s="473">
        <f t="shared" si="1"/>
        <v>3201156.9729729728</v>
      </c>
      <c r="K65" s="474">
        <f>7284600+7288704+17729280</f>
        <v>32302584</v>
      </c>
      <c r="L65" s="475"/>
    </row>
    <row r="66" spans="1:12" x14ac:dyDescent="0.2">
      <c r="A66" s="305">
        <v>61</v>
      </c>
      <c r="B66" s="469" t="s">
        <v>463</v>
      </c>
      <c r="C66" s="476" t="s">
        <v>3068</v>
      </c>
      <c r="D66" s="464"/>
      <c r="E66" s="465" t="s">
        <v>2904</v>
      </c>
      <c r="F66" s="466" t="s">
        <v>2905</v>
      </c>
      <c r="G66" s="518"/>
      <c r="H66" s="477">
        <v>44930</v>
      </c>
      <c r="I66" s="488">
        <f t="shared" si="0"/>
        <v>4179711.7117117113</v>
      </c>
      <c r="J66" s="488">
        <f t="shared" si="1"/>
        <v>459768.28828828823</v>
      </c>
      <c r="K66" s="474">
        <f>1524480+3115000</f>
        <v>4639480</v>
      </c>
      <c r="L66" s="475"/>
    </row>
    <row r="67" spans="1:12" x14ac:dyDescent="0.2">
      <c r="A67" s="305">
        <v>62</v>
      </c>
      <c r="B67" s="485" t="s">
        <v>464</v>
      </c>
      <c r="C67" s="476" t="s">
        <v>2976</v>
      </c>
      <c r="D67" s="464"/>
      <c r="E67" s="465" t="s">
        <v>2906</v>
      </c>
      <c r="F67" s="466" t="s">
        <v>2892</v>
      </c>
      <c r="G67" s="518"/>
      <c r="H67" s="477">
        <v>44930</v>
      </c>
      <c r="I67" s="473">
        <f t="shared" si="0"/>
        <v>14565810.81081081</v>
      </c>
      <c r="J67" s="473">
        <f t="shared" si="1"/>
        <v>1602239.1891891891</v>
      </c>
      <c r="K67" s="474">
        <f>11358162+2142288+2667600</f>
        <v>16168050</v>
      </c>
      <c r="L67" s="475"/>
    </row>
    <row r="68" spans="1:12" x14ac:dyDescent="0.2">
      <c r="A68" s="305">
        <v>63</v>
      </c>
      <c r="B68" s="469" t="s">
        <v>465</v>
      </c>
      <c r="C68" s="476" t="s">
        <v>2971</v>
      </c>
      <c r="D68" s="464"/>
      <c r="E68" s="465" t="s">
        <v>2907</v>
      </c>
      <c r="F68" s="466" t="s">
        <v>2908</v>
      </c>
      <c r="G68" s="518"/>
      <c r="H68" s="477">
        <v>44930</v>
      </c>
      <c r="I68" s="488">
        <f t="shared" si="0"/>
        <v>5249083.7837837832</v>
      </c>
      <c r="J68" s="488">
        <f t="shared" si="1"/>
        <v>577399.21621621621</v>
      </c>
      <c r="K68" s="474">
        <f>3781836+1192212+852435</f>
        <v>5826483</v>
      </c>
      <c r="L68" s="475"/>
    </row>
    <row r="69" spans="1:12" x14ac:dyDescent="0.2">
      <c r="A69" s="305">
        <v>64</v>
      </c>
      <c r="B69" s="485" t="s">
        <v>466</v>
      </c>
      <c r="C69" s="476" t="s">
        <v>2909</v>
      </c>
      <c r="D69" s="464"/>
      <c r="E69" s="465" t="s">
        <v>2910</v>
      </c>
      <c r="F69" s="466" t="s">
        <v>2851</v>
      </c>
      <c r="G69" s="518"/>
      <c r="H69" s="477">
        <v>44930</v>
      </c>
      <c r="I69" s="473">
        <f t="shared" si="0"/>
        <v>85585.585585585577</v>
      </c>
      <c r="J69" s="473">
        <f t="shared" si="1"/>
        <v>9414.4144144144138</v>
      </c>
      <c r="K69" s="474">
        <v>95000</v>
      </c>
      <c r="L69" s="475"/>
    </row>
    <row r="70" spans="1:12" x14ac:dyDescent="0.2">
      <c r="A70" s="305">
        <v>65</v>
      </c>
      <c r="B70" s="469" t="s">
        <v>467</v>
      </c>
      <c r="C70" s="476" t="s">
        <v>2978</v>
      </c>
      <c r="D70" s="464"/>
      <c r="E70" s="465" t="s">
        <v>2911</v>
      </c>
      <c r="F70" s="466" t="s">
        <v>2912</v>
      </c>
      <c r="G70" s="518"/>
      <c r="H70" s="477">
        <v>44930</v>
      </c>
      <c r="I70" s="488">
        <f t="shared" si="0"/>
        <v>8272702.702702702</v>
      </c>
      <c r="J70" s="488">
        <f t="shared" si="1"/>
        <v>909997.29729729728</v>
      </c>
      <c r="K70" s="474">
        <f>3102624+3180600+2899476</f>
        <v>9182700</v>
      </c>
      <c r="L70" s="475"/>
    </row>
    <row r="71" spans="1:12" x14ac:dyDescent="0.2">
      <c r="A71" s="305">
        <v>66</v>
      </c>
      <c r="B71" s="485" t="s">
        <v>468</v>
      </c>
      <c r="C71" s="476" t="s">
        <v>3157</v>
      </c>
      <c r="D71" s="464"/>
      <c r="E71" s="465" t="s">
        <v>2913</v>
      </c>
      <c r="F71" s="466" t="s">
        <v>2879</v>
      </c>
      <c r="G71" s="518"/>
      <c r="H71" s="477">
        <v>44930</v>
      </c>
      <c r="I71" s="473">
        <f t="shared" si="0"/>
        <v>5404524.3243243238</v>
      </c>
      <c r="J71" s="473">
        <f t="shared" si="1"/>
        <v>594497.67567567562</v>
      </c>
      <c r="K71" s="474">
        <f>4986360+843372+169290</f>
        <v>5999022</v>
      </c>
      <c r="L71" s="475"/>
    </row>
    <row r="72" spans="1:12" x14ac:dyDescent="0.2">
      <c r="A72" s="305">
        <v>67</v>
      </c>
      <c r="B72" s="469" t="s">
        <v>469</v>
      </c>
      <c r="C72" s="476" t="s">
        <v>3120</v>
      </c>
      <c r="D72" s="464"/>
      <c r="E72" s="465" t="s">
        <v>2914</v>
      </c>
      <c r="F72" s="466" t="s">
        <v>2915</v>
      </c>
      <c r="G72" s="518"/>
      <c r="H72" s="477">
        <v>44930</v>
      </c>
      <c r="I72" s="488">
        <f t="shared" ref="I72:I82" si="2">K72/1.11</f>
        <v>5661948.6486486485</v>
      </c>
      <c r="J72" s="488">
        <f t="shared" ref="J72:J82" si="3">I72*11%</f>
        <v>622814.35135135136</v>
      </c>
      <c r="K72" s="474">
        <f>3021570+1013175+2250018</f>
        <v>6284763</v>
      </c>
      <c r="L72" s="475"/>
    </row>
    <row r="73" spans="1:12" x14ac:dyDescent="0.2">
      <c r="A73" s="305">
        <v>68</v>
      </c>
      <c r="B73" s="485" t="s">
        <v>470</v>
      </c>
      <c r="C73" s="476" t="s">
        <v>2964</v>
      </c>
      <c r="D73" s="464"/>
      <c r="E73" s="465" t="s">
        <v>2916</v>
      </c>
      <c r="F73" s="466" t="s">
        <v>2917</v>
      </c>
      <c r="G73" s="518"/>
      <c r="H73" s="477">
        <v>44928</v>
      </c>
      <c r="I73" s="473">
        <f t="shared" si="2"/>
        <v>11103747.747747747</v>
      </c>
      <c r="J73" s="473">
        <f t="shared" si="3"/>
        <v>1221412.2522522523</v>
      </c>
      <c r="K73" s="474">
        <f>6202170+875000+5247990</f>
        <v>12325160</v>
      </c>
      <c r="L73" s="475"/>
    </row>
    <row r="74" spans="1:12" x14ac:dyDescent="0.2">
      <c r="A74" s="305">
        <v>69</v>
      </c>
      <c r="B74" s="469" t="s">
        <v>471</v>
      </c>
      <c r="C74" s="476" t="s">
        <v>2988</v>
      </c>
      <c r="D74" s="464"/>
      <c r="E74" s="465" t="s">
        <v>6909</v>
      </c>
      <c r="F74" s="466" t="s">
        <v>2886</v>
      </c>
      <c r="G74" s="518"/>
      <c r="H74" s="477">
        <v>44931</v>
      </c>
      <c r="I74" s="488">
        <f t="shared" si="2"/>
        <v>5288059.4594594594</v>
      </c>
      <c r="J74" s="488">
        <f t="shared" si="3"/>
        <v>581686.54054054059</v>
      </c>
      <c r="K74" s="474">
        <f>1665711+1372788+2831247</f>
        <v>5869746</v>
      </c>
      <c r="L74" s="475"/>
    </row>
    <row r="75" spans="1:12" x14ac:dyDescent="0.2">
      <c r="A75" s="305">
        <v>70</v>
      </c>
      <c r="B75" s="485" t="s">
        <v>472</v>
      </c>
      <c r="C75" s="476" t="s">
        <v>3078</v>
      </c>
      <c r="D75" s="464"/>
      <c r="E75" s="465" t="s">
        <v>2918</v>
      </c>
      <c r="F75" s="466" t="s">
        <v>2919</v>
      </c>
      <c r="G75" s="518"/>
      <c r="H75" s="477">
        <v>44931</v>
      </c>
      <c r="I75" s="473">
        <f t="shared" si="2"/>
        <v>2062099.0990990989</v>
      </c>
      <c r="J75" s="473">
        <f t="shared" si="3"/>
        <v>226830.90090090089</v>
      </c>
      <c r="K75" s="474">
        <f>1580990+707940</f>
        <v>2288930</v>
      </c>
      <c r="L75" s="475"/>
    </row>
    <row r="76" spans="1:12" x14ac:dyDescent="0.2">
      <c r="A76" s="305">
        <v>71</v>
      </c>
      <c r="B76" s="469" t="s">
        <v>473</v>
      </c>
      <c r="C76" s="476" t="s">
        <v>2920</v>
      </c>
      <c r="D76" s="464"/>
      <c r="E76" s="465" t="s">
        <v>2921</v>
      </c>
      <c r="F76" s="466" t="s">
        <v>2922</v>
      </c>
      <c r="G76" s="518"/>
      <c r="H76" s="477">
        <v>44931</v>
      </c>
      <c r="I76" s="488">
        <f t="shared" si="2"/>
        <v>380513.51351351349</v>
      </c>
      <c r="J76" s="488">
        <f t="shared" si="3"/>
        <v>41856.486486486487</v>
      </c>
      <c r="K76" s="474">
        <v>422370</v>
      </c>
      <c r="L76" s="475"/>
    </row>
    <row r="77" spans="1:12" x14ac:dyDescent="0.2">
      <c r="A77" s="305">
        <v>72</v>
      </c>
      <c r="B77" s="485" t="s">
        <v>474</v>
      </c>
      <c r="C77" s="476" t="s">
        <v>2923</v>
      </c>
      <c r="D77" s="464"/>
      <c r="E77" s="465" t="s">
        <v>2924</v>
      </c>
      <c r="F77" s="466" t="s">
        <v>2925</v>
      </c>
      <c r="G77" s="518"/>
      <c r="H77" s="477">
        <v>44931</v>
      </c>
      <c r="I77" s="473">
        <f t="shared" si="2"/>
        <v>419205.40540540538</v>
      </c>
      <c r="J77" s="473">
        <f t="shared" si="3"/>
        <v>46112.594594594593</v>
      </c>
      <c r="K77" s="474">
        <v>465318</v>
      </c>
      <c r="L77" s="475"/>
    </row>
    <row r="78" spans="1:12" x14ac:dyDescent="0.2">
      <c r="A78" s="305">
        <v>73</v>
      </c>
      <c r="B78" s="469" t="s">
        <v>475</v>
      </c>
      <c r="C78" s="476" t="s">
        <v>2966</v>
      </c>
      <c r="D78" s="464"/>
      <c r="E78" s="471" t="s">
        <v>2881</v>
      </c>
      <c r="F78" s="471" t="s">
        <v>2808</v>
      </c>
      <c r="G78" s="518"/>
      <c r="H78" s="472">
        <v>44931</v>
      </c>
      <c r="I78" s="488">
        <f t="shared" si="2"/>
        <v>13655043.243243242</v>
      </c>
      <c r="J78" s="488">
        <f t="shared" si="3"/>
        <v>1502054.7567567567</v>
      </c>
      <c r="K78" s="474">
        <f>2905632+3814668+8436798</f>
        <v>15157098</v>
      </c>
      <c r="L78" s="475"/>
    </row>
    <row r="79" spans="1:12" x14ac:dyDescent="0.2">
      <c r="A79" s="305">
        <v>74</v>
      </c>
      <c r="B79" s="485" t="s">
        <v>476</v>
      </c>
      <c r="C79" s="476" t="s">
        <v>2979</v>
      </c>
      <c r="D79" s="464"/>
      <c r="E79" s="465" t="s">
        <v>2907</v>
      </c>
      <c r="F79" s="466" t="s">
        <v>2858</v>
      </c>
      <c r="G79" s="518"/>
      <c r="H79" s="477">
        <v>44931</v>
      </c>
      <c r="I79" s="473">
        <f t="shared" si="2"/>
        <v>87652135.135135129</v>
      </c>
      <c r="J79" s="473">
        <f t="shared" si="3"/>
        <v>9641734.8648648635</v>
      </c>
      <c r="K79" s="474">
        <f>22155786+70522794+4615290</f>
        <v>97293870</v>
      </c>
      <c r="L79" s="475"/>
    </row>
    <row r="80" spans="1:12" x14ac:dyDescent="0.2">
      <c r="A80" s="305">
        <v>75</v>
      </c>
      <c r="B80" s="469" t="s">
        <v>477</v>
      </c>
      <c r="C80" s="476" t="s">
        <v>2975</v>
      </c>
      <c r="D80" s="464"/>
      <c r="E80" s="465" t="s">
        <v>2907</v>
      </c>
      <c r="F80" s="466" t="s">
        <v>2926</v>
      </c>
      <c r="G80" s="518"/>
      <c r="H80" s="477">
        <v>44931</v>
      </c>
      <c r="I80" s="488">
        <f t="shared" si="2"/>
        <v>17068572.97297297</v>
      </c>
      <c r="J80" s="488">
        <f t="shared" si="3"/>
        <v>1877543.0270270268</v>
      </c>
      <c r="K80" s="474">
        <f>7046568+7223040+4676508</f>
        <v>18946116</v>
      </c>
      <c r="L80" s="475"/>
    </row>
    <row r="81" spans="1:12" x14ac:dyDescent="0.2">
      <c r="A81" s="305">
        <v>76</v>
      </c>
      <c r="B81" s="485" t="s">
        <v>478</v>
      </c>
      <c r="C81" s="476" t="s">
        <v>2980</v>
      </c>
      <c r="D81" s="464"/>
      <c r="E81" s="465" t="s">
        <v>2927</v>
      </c>
      <c r="F81" s="466" t="s">
        <v>2928</v>
      </c>
      <c r="G81" s="518"/>
      <c r="H81" s="477">
        <v>44931</v>
      </c>
      <c r="I81" s="473">
        <f t="shared" si="2"/>
        <v>10344179.279279279</v>
      </c>
      <c r="J81" s="473">
        <f t="shared" si="3"/>
        <v>1137859.7207207207</v>
      </c>
      <c r="K81" s="474">
        <f>1208628+2467603+7805808</f>
        <v>11482039</v>
      </c>
      <c r="L81" s="475"/>
    </row>
    <row r="82" spans="1:12" x14ac:dyDescent="0.2">
      <c r="A82" s="305">
        <v>77</v>
      </c>
      <c r="B82" s="469" t="s">
        <v>479</v>
      </c>
      <c r="C82" s="476" t="s">
        <v>3139</v>
      </c>
      <c r="D82" s="464"/>
      <c r="E82" s="465" t="s">
        <v>2929</v>
      </c>
      <c r="F82" s="466" t="s">
        <v>2886</v>
      </c>
      <c r="G82" s="518"/>
      <c r="H82" s="477">
        <v>44931</v>
      </c>
      <c r="I82" s="488">
        <f t="shared" si="2"/>
        <v>7527031.5315315304</v>
      </c>
      <c r="J82" s="488">
        <f t="shared" si="3"/>
        <v>827973.4684684684</v>
      </c>
      <c r="K82" s="474">
        <f>1667250+1000350+5687405</f>
        <v>8355005</v>
      </c>
      <c r="L82" s="475"/>
    </row>
    <row r="83" spans="1:12" x14ac:dyDescent="0.2">
      <c r="A83" s="305">
        <v>78</v>
      </c>
      <c r="B83" s="469" t="s">
        <v>479</v>
      </c>
      <c r="C83" s="476" t="s">
        <v>3015</v>
      </c>
      <c r="D83" s="464"/>
      <c r="E83" s="465" t="s">
        <v>2900</v>
      </c>
      <c r="F83" s="466" t="s">
        <v>2823</v>
      </c>
      <c r="G83" s="464"/>
      <c r="H83" s="477">
        <v>44931</v>
      </c>
      <c r="I83" s="473">
        <f t="shared" ref="I83:I135" si="4">K83/1.11</f>
        <v>36039713.513513513</v>
      </c>
      <c r="J83" s="473">
        <f t="shared" ref="J83:J135" si="5">I83*11%</f>
        <v>3964368.4864864866</v>
      </c>
      <c r="K83" s="474">
        <f>5162832+23760450+11080800</f>
        <v>40004082</v>
      </c>
      <c r="L83" s="475"/>
    </row>
    <row r="84" spans="1:12" x14ac:dyDescent="0.2">
      <c r="A84" s="305">
        <v>79</v>
      </c>
      <c r="B84" s="485" t="s">
        <v>480</v>
      </c>
      <c r="C84" s="476" t="s">
        <v>3097</v>
      </c>
      <c r="D84" s="464"/>
      <c r="E84" s="465" t="s">
        <v>2933</v>
      </c>
      <c r="F84" s="466" t="s">
        <v>2823</v>
      </c>
      <c r="G84" s="464"/>
      <c r="H84" s="477">
        <v>44931</v>
      </c>
      <c r="I84" s="488">
        <f t="shared" si="4"/>
        <v>36947091.891891889</v>
      </c>
      <c r="J84" s="488">
        <f t="shared" si="5"/>
        <v>4064180.1081081079</v>
      </c>
      <c r="K84" s="474">
        <f>5909760+5552712+8864640+20684160</f>
        <v>41011272</v>
      </c>
      <c r="L84" s="475"/>
    </row>
    <row r="85" spans="1:12" x14ac:dyDescent="0.2">
      <c r="A85" s="305">
        <v>80</v>
      </c>
      <c r="B85" s="469" t="s">
        <v>481</v>
      </c>
      <c r="C85" s="476" t="s">
        <v>2965</v>
      </c>
      <c r="D85" s="464"/>
      <c r="E85" s="465" t="s">
        <v>2934</v>
      </c>
      <c r="F85" s="466" t="s">
        <v>2935</v>
      </c>
      <c r="G85" s="464"/>
      <c r="H85" s="477">
        <v>44931</v>
      </c>
      <c r="I85" s="473">
        <f t="shared" si="4"/>
        <v>9569837.8378378376</v>
      </c>
      <c r="J85" s="473">
        <f t="shared" si="5"/>
        <v>1052682.1621621621</v>
      </c>
      <c r="K85" s="474">
        <f>1372788+5171040+4078692</f>
        <v>10622520</v>
      </c>
      <c r="L85" s="475"/>
    </row>
    <row r="86" spans="1:12" x14ac:dyDescent="0.2">
      <c r="A86" s="305">
        <v>81</v>
      </c>
      <c r="B86" s="485" t="s">
        <v>482</v>
      </c>
      <c r="C86" s="476" t="s">
        <v>3116</v>
      </c>
      <c r="D86" s="464"/>
      <c r="E86" s="465" t="s">
        <v>2936</v>
      </c>
      <c r="F86" s="466" t="s">
        <v>2922</v>
      </c>
      <c r="G86" s="464"/>
      <c r="H86" s="477">
        <v>44931</v>
      </c>
      <c r="I86" s="488">
        <f t="shared" si="4"/>
        <v>10754413.513513513</v>
      </c>
      <c r="J86" s="488">
        <f t="shared" si="5"/>
        <v>1182985.4864864864</v>
      </c>
      <c r="K86" s="474">
        <f>1372788+3682716+6881895</f>
        <v>11937399</v>
      </c>
      <c r="L86" s="475"/>
    </row>
    <row r="87" spans="1:12" x14ac:dyDescent="0.2">
      <c r="A87" s="305">
        <v>82</v>
      </c>
      <c r="B87" s="469" t="s">
        <v>483</v>
      </c>
      <c r="C87" s="476" t="s">
        <v>2938</v>
      </c>
      <c r="D87" s="464"/>
      <c r="E87" s="465" t="s">
        <v>2937</v>
      </c>
      <c r="F87" s="466" t="s">
        <v>2823</v>
      </c>
      <c r="G87" s="464"/>
      <c r="H87" s="477">
        <v>44932</v>
      </c>
      <c r="I87" s="473">
        <f t="shared" si="4"/>
        <v>20423870.270270269</v>
      </c>
      <c r="J87" s="473">
        <f t="shared" si="5"/>
        <v>2246625.7297297297</v>
      </c>
      <c r="K87" s="474">
        <f>2913840+14302440+5454216</f>
        <v>22670496</v>
      </c>
      <c r="L87" s="475"/>
    </row>
    <row r="88" spans="1:12" x14ac:dyDescent="0.2">
      <c r="A88" s="305">
        <v>83</v>
      </c>
      <c r="B88" s="485" t="s">
        <v>484</v>
      </c>
      <c r="C88" s="476" t="s">
        <v>3022</v>
      </c>
      <c r="D88" s="464"/>
      <c r="E88" s="465" t="s">
        <v>2939</v>
      </c>
      <c r="F88" s="466" t="s">
        <v>2940</v>
      </c>
      <c r="G88" s="464"/>
      <c r="H88" s="477">
        <v>44932</v>
      </c>
      <c r="I88" s="488">
        <f t="shared" si="4"/>
        <v>3056270.2702702698</v>
      </c>
      <c r="J88" s="488">
        <f t="shared" si="5"/>
        <v>336189.7297297297</v>
      </c>
      <c r="K88" s="474">
        <f>2472660+201600+718200</f>
        <v>3392460</v>
      </c>
      <c r="L88" s="475"/>
    </row>
    <row r="89" spans="1:12" x14ac:dyDescent="0.2">
      <c r="A89" s="305">
        <v>84</v>
      </c>
      <c r="B89" s="469" t="s">
        <v>485</v>
      </c>
      <c r="C89" s="476" t="s">
        <v>2972</v>
      </c>
      <c r="D89" s="464"/>
      <c r="E89" s="471" t="s">
        <v>2941</v>
      </c>
      <c r="F89" s="471" t="s">
        <v>2785</v>
      </c>
      <c r="G89" s="464"/>
      <c r="H89" s="472">
        <v>44932</v>
      </c>
      <c r="I89" s="473">
        <f t="shared" si="4"/>
        <v>4511243.2432432426</v>
      </c>
      <c r="J89" s="473">
        <f t="shared" si="5"/>
        <v>496236.75675675669</v>
      </c>
      <c r="K89" s="474">
        <f>1950000+3057480</f>
        <v>5007480</v>
      </c>
      <c r="L89" s="475"/>
    </row>
    <row r="90" spans="1:12" x14ac:dyDescent="0.2">
      <c r="A90" s="305">
        <v>85</v>
      </c>
      <c r="B90" s="485" t="s">
        <v>486</v>
      </c>
      <c r="C90" s="476" t="s">
        <v>2942</v>
      </c>
      <c r="D90" s="464"/>
      <c r="E90" s="471" t="s">
        <v>2943</v>
      </c>
      <c r="F90" s="471" t="s">
        <v>2944</v>
      </c>
      <c r="G90" s="464"/>
      <c r="H90" s="472">
        <v>44932</v>
      </c>
      <c r="I90" s="488">
        <f t="shared" si="4"/>
        <v>124013.51351351351</v>
      </c>
      <c r="J90" s="488">
        <f t="shared" si="5"/>
        <v>13641.486486486485</v>
      </c>
      <c r="K90" s="474">
        <v>137655</v>
      </c>
      <c r="L90" s="475"/>
    </row>
    <row r="91" spans="1:12" x14ac:dyDescent="0.2">
      <c r="A91" s="305">
        <v>86</v>
      </c>
      <c r="B91" s="469" t="s">
        <v>487</v>
      </c>
      <c r="C91" s="476" t="s">
        <v>3055</v>
      </c>
      <c r="D91" s="464"/>
      <c r="E91" s="465" t="s">
        <v>2945</v>
      </c>
      <c r="F91" s="466" t="s">
        <v>2946</v>
      </c>
      <c r="G91" s="464"/>
      <c r="H91" s="477">
        <v>44932</v>
      </c>
      <c r="I91" s="473">
        <f t="shared" si="4"/>
        <v>8499470.2702702694</v>
      </c>
      <c r="J91" s="473">
        <f t="shared" si="5"/>
        <v>934941.72972972959</v>
      </c>
      <c r="K91" s="474">
        <f>2415204+3368358+3650850</f>
        <v>9434412</v>
      </c>
      <c r="L91" s="475"/>
    </row>
    <row r="92" spans="1:12" x14ac:dyDescent="0.2">
      <c r="A92" s="305">
        <v>87</v>
      </c>
      <c r="B92" s="485" t="s">
        <v>488</v>
      </c>
      <c r="C92" s="476" t="s">
        <v>3071</v>
      </c>
      <c r="D92" s="464"/>
      <c r="E92" s="465" t="s">
        <v>2947</v>
      </c>
      <c r="F92" s="466" t="s">
        <v>2823</v>
      </c>
      <c r="G92" s="464"/>
      <c r="H92" s="477">
        <v>44932</v>
      </c>
      <c r="I92" s="488">
        <f t="shared" si="4"/>
        <v>11616137.837837838</v>
      </c>
      <c r="J92" s="488">
        <f t="shared" si="5"/>
        <v>1277775.1621621621</v>
      </c>
      <c r="K92" s="474">
        <f>4087584+8806329</f>
        <v>12893913</v>
      </c>
      <c r="L92" s="475"/>
    </row>
    <row r="93" spans="1:12" x14ac:dyDescent="0.2">
      <c r="A93" s="305">
        <v>88</v>
      </c>
      <c r="B93" s="469" t="s">
        <v>489</v>
      </c>
      <c r="C93" s="476" t="s">
        <v>3037</v>
      </c>
      <c r="D93" s="464"/>
      <c r="E93" s="465" t="s">
        <v>2948</v>
      </c>
      <c r="F93" s="466" t="s">
        <v>2892</v>
      </c>
      <c r="G93" s="464"/>
      <c r="H93" s="477">
        <v>44932</v>
      </c>
      <c r="I93" s="473">
        <f t="shared" si="4"/>
        <v>13421189.189189188</v>
      </c>
      <c r="J93" s="473">
        <f t="shared" si="5"/>
        <v>1476330.8108108107</v>
      </c>
      <c r="K93" s="474">
        <f>4924800+2585520+7387200</f>
        <v>14897520</v>
      </c>
      <c r="L93" s="475"/>
    </row>
    <row r="94" spans="1:12" x14ac:dyDescent="0.2">
      <c r="A94" s="305">
        <v>89</v>
      </c>
      <c r="B94" s="485" t="s">
        <v>490</v>
      </c>
      <c r="C94" s="476" t="s">
        <v>2949</v>
      </c>
      <c r="D94" s="464"/>
      <c r="E94" s="465" t="s">
        <v>2950</v>
      </c>
      <c r="F94" s="466" t="s">
        <v>2951</v>
      </c>
      <c r="G94" s="464"/>
      <c r="H94" s="477">
        <v>44932</v>
      </c>
      <c r="I94" s="488">
        <f t="shared" si="4"/>
        <v>3028856.7567567565</v>
      </c>
      <c r="J94" s="488">
        <f t="shared" si="5"/>
        <v>333174.2432432432</v>
      </c>
      <c r="K94" s="474">
        <v>3362031</v>
      </c>
      <c r="L94" s="475"/>
    </row>
    <row r="95" spans="1:12" x14ac:dyDescent="0.2">
      <c r="A95" s="305">
        <v>90</v>
      </c>
      <c r="B95" s="469" t="s">
        <v>491</v>
      </c>
      <c r="C95" s="476" t="s">
        <v>2998</v>
      </c>
      <c r="D95" s="464"/>
      <c r="E95" s="465" t="s">
        <v>2937</v>
      </c>
      <c r="F95" s="466" t="s">
        <v>2823</v>
      </c>
      <c r="G95" s="464"/>
      <c r="H95" s="477">
        <v>44933</v>
      </c>
      <c r="I95" s="473">
        <f t="shared" si="4"/>
        <v>10214015.315315314</v>
      </c>
      <c r="J95" s="473">
        <f t="shared" si="5"/>
        <v>1123541.6846846845</v>
      </c>
      <c r="K95" s="474">
        <f>6545025+2151608+2640924</f>
        <v>11337557</v>
      </c>
      <c r="L95" s="475"/>
    </row>
    <row r="96" spans="1:12" x14ac:dyDescent="0.2">
      <c r="A96" s="305">
        <v>91</v>
      </c>
      <c r="B96" s="485" t="s">
        <v>492</v>
      </c>
      <c r="C96" s="476" t="s">
        <v>2952</v>
      </c>
      <c r="D96" s="464"/>
      <c r="E96" s="465" t="s">
        <v>2907</v>
      </c>
      <c r="F96" s="466" t="s">
        <v>2953</v>
      </c>
      <c r="G96" s="464"/>
      <c r="H96" s="477">
        <v>44933</v>
      </c>
      <c r="I96" s="488">
        <f t="shared" si="4"/>
        <v>5981148.6486486485</v>
      </c>
      <c r="J96" s="488">
        <f t="shared" si="5"/>
        <v>657926.35135135136</v>
      </c>
      <c r="K96" s="474">
        <v>6639075</v>
      </c>
      <c r="L96" s="475"/>
    </row>
    <row r="97" spans="1:12" x14ac:dyDescent="0.2">
      <c r="A97" s="305">
        <v>92</v>
      </c>
      <c r="B97" s="469" t="s">
        <v>493</v>
      </c>
      <c r="C97" s="476" t="s">
        <v>3154</v>
      </c>
      <c r="D97" s="464"/>
      <c r="E97" s="465" t="s">
        <v>2954</v>
      </c>
      <c r="F97" s="466" t="s">
        <v>2955</v>
      </c>
      <c r="G97" s="464"/>
      <c r="H97" s="477">
        <v>44933</v>
      </c>
      <c r="I97" s="473">
        <f t="shared" si="4"/>
        <v>5521451.3513513505</v>
      </c>
      <c r="J97" s="473">
        <f t="shared" si="5"/>
        <v>607359.64864864852</v>
      </c>
      <c r="K97" s="474">
        <f>1159380+769500+4199931</f>
        <v>6128811</v>
      </c>
      <c r="L97" s="475"/>
    </row>
    <row r="98" spans="1:12" x14ac:dyDescent="0.2">
      <c r="A98" s="305">
        <v>93</v>
      </c>
      <c r="B98" s="485" t="s">
        <v>494</v>
      </c>
      <c r="C98" s="476" t="s">
        <v>3135</v>
      </c>
      <c r="D98" s="464"/>
      <c r="E98" s="465" t="s">
        <v>2956</v>
      </c>
      <c r="F98" s="466" t="s">
        <v>2755</v>
      </c>
      <c r="G98" s="464"/>
      <c r="H98" s="477">
        <v>44933</v>
      </c>
      <c r="I98" s="488">
        <f t="shared" si="4"/>
        <v>1870726.1261261259</v>
      </c>
      <c r="J98" s="488">
        <f t="shared" si="5"/>
        <v>205779.87387387385</v>
      </c>
      <c r="K98" s="474">
        <f>700000+1103590+272916</f>
        <v>2076506</v>
      </c>
      <c r="L98" s="475"/>
    </row>
    <row r="99" spans="1:12" x14ac:dyDescent="0.2">
      <c r="A99" s="305">
        <v>94</v>
      </c>
      <c r="B99" s="469" t="s">
        <v>495</v>
      </c>
      <c r="C99" s="476" t="s">
        <v>2959</v>
      </c>
      <c r="D99" s="464"/>
      <c r="E99" s="465" t="s">
        <v>2958</v>
      </c>
      <c r="F99" s="466" t="s">
        <v>2823</v>
      </c>
      <c r="G99" s="464"/>
      <c r="H99" s="477">
        <v>44935</v>
      </c>
      <c r="I99" s="473">
        <f t="shared" si="4"/>
        <v>17483286.486486483</v>
      </c>
      <c r="J99" s="473">
        <f t="shared" si="5"/>
        <v>1923161.5135135131</v>
      </c>
      <c r="K99" s="474">
        <f>779760+6527754+12098934</f>
        <v>19406448</v>
      </c>
      <c r="L99" s="475"/>
    </row>
    <row r="100" spans="1:12" x14ac:dyDescent="0.2">
      <c r="A100" s="305">
        <v>95</v>
      </c>
      <c r="B100" s="485" t="s">
        <v>496</v>
      </c>
      <c r="C100" s="476" t="s">
        <v>3160</v>
      </c>
      <c r="D100" s="464"/>
      <c r="E100" s="465" t="s">
        <v>2961</v>
      </c>
      <c r="F100" s="466" t="s">
        <v>2953</v>
      </c>
      <c r="G100" s="464"/>
      <c r="H100" s="477">
        <v>44935</v>
      </c>
      <c r="I100" s="488">
        <f t="shared" si="4"/>
        <v>10981743.243243242</v>
      </c>
      <c r="J100" s="488">
        <f t="shared" si="5"/>
        <v>1207991.7567567567</v>
      </c>
      <c r="K100" s="474">
        <f>10731960+1457775</f>
        <v>12189735</v>
      </c>
      <c r="L100" s="475"/>
    </row>
    <row r="101" spans="1:12" x14ac:dyDescent="0.2">
      <c r="A101" s="305">
        <v>96</v>
      </c>
      <c r="B101" s="469" t="s">
        <v>497</v>
      </c>
      <c r="C101" s="480" t="s">
        <v>3162</v>
      </c>
      <c r="D101" s="481"/>
      <c r="E101" s="482" t="s">
        <v>2962</v>
      </c>
      <c r="F101" s="483" t="s">
        <v>2908</v>
      </c>
      <c r="G101" s="513"/>
      <c r="H101" s="484">
        <v>44935</v>
      </c>
      <c r="I101" s="473">
        <f t="shared" si="4"/>
        <v>5758540.5405405397</v>
      </c>
      <c r="J101" s="473">
        <f t="shared" si="5"/>
        <v>633439.45945945941</v>
      </c>
      <c r="K101" s="474">
        <f>4801680+1590300</f>
        <v>6391980</v>
      </c>
      <c r="L101" s="475"/>
    </row>
    <row r="102" spans="1:12" x14ac:dyDescent="0.2">
      <c r="A102" s="305">
        <v>97</v>
      </c>
      <c r="B102" s="485" t="s">
        <v>498</v>
      </c>
      <c r="C102" s="476" t="s">
        <v>2967</v>
      </c>
      <c r="D102" s="464"/>
      <c r="E102" s="471" t="s">
        <v>2968</v>
      </c>
      <c r="F102" s="471" t="s">
        <v>2969</v>
      </c>
      <c r="G102" s="464"/>
      <c r="H102" s="477">
        <v>44953</v>
      </c>
      <c r="I102" s="488">
        <f t="shared" si="4"/>
        <v>4191810.8108108104</v>
      </c>
      <c r="J102" s="488">
        <f t="shared" si="5"/>
        <v>461099.18918918917</v>
      </c>
      <c r="K102" s="474">
        <v>4652910</v>
      </c>
      <c r="L102" s="475"/>
    </row>
    <row r="103" spans="1:12" x14ac:dyDescent="0.2">
      <c r="A103" s="305">
        <v>98</v>
      </c>
      <c r="B103" s="469" t="s">
        <v>499</v>
      </c>
      <c r="C103" s="476" t="s">
        <v>3053</v>
      </c>
      <c r="D103" s="464"/>
      <c r="E103" s="465" t="s">
        <v>2970</v>
      </c>
      <c r="F103" s="466" t="s">
        <v>2946</v>
      </c>
      <c r="G103" s="464"/>
      <c r="H103" s="477">
        <v>44935</v>
      </c>
      <c r="I103" s="473">
        <f t="shared" si="4"/>
        <v>4686786.4864864862</v>
      </c>
      <c r="J103" s="473">
        <f t="shared" si="5"/>
        <v>515546.51351351349</v>
      </c>
      <c r="K103" s="474">
        <f>443232+3213432+1545669</f>
        <v>5202333</v>
      </c>
      <c r="L103" s="475"/>
    </row>
    <row r="104" spans="1:12" x14ac:dyDescent="0.2">
      <c r="A104" s="305">
        <v>99</v>
      </c>
      <c r="B104" s="485" t="s">
        <v>500</v>
      </c>
      <c r="C104" s="476" t="s">
        <v>2973</v>
      </c>
      <c r="D104" s="464"/>
      <c r="E104" s="465" t="s">
        <v>2974</v>
      </c>
      <c r="F104" s="466" t="s">
        <v>2755</v>
      </c>
      <c r="G104" s="464"/>
      <c r="H104" s="477">
        <v>44935</v>
      </c>
      <c r="I104" s="488">
        <f t="shared" si="4"/>
        <v>383783.78378378373</v>
      </c>
      <c r="J104" s="488">
        <f t="shared" si="5"/>
        <v>42216.216216216213</v>
      </c>
      <c r="K104" s="474">
        <v>426000</v>
      </c>
      <c r="L104" s="475"/>
    </row>
    <row r="105" spans="1:12" x14ac:dyDescent="0.2">
      <c r="A105" s="305">
        <v>100</v>
      </c>
      <c r="B105" s="469" t="s">
        <v>501</v>
      </c>
      <c r="C105" s="476" t="s">
        <v>3019</v>
      </c>
      <c r="D105" s="464"/>
      <c r="E105" s="465" t="s">
        <v>2898</v>
      </c>
      <c r="F105" s="466" t="s">
        <v>2823</v>
      </c>
      <c r="G105" s="464"/>
      <c r="H105" s="477">
        <v>44936</v>
      </c>
      <c r="I105" s="473">
        <f t="shared" si="4"/>
        <v>36686432.432432428</v>
      </c>
      <c r="J105" s="473">
        <f t="shared" si="5"/>
        <v>4035507.5675675669</v>
      </c>
      <c r="K105" s="474">
        <f>10563696+29758104+400140</f>
        <v>40721940</v>
      </c>
      <c r="L105" s="475"/>
    </row>
    <row r="106" spans="1:12" x14ac:dyDescent="0.2">
      <c r="A106" s="305">
        <v>101</v>
      </c>
      <c r="B106" s="485" t="s">
        <v>502</v>
      </c>
      <c r="C106" s="476" t="s">
        <v>2983</v>
      </c>
      <c r="D106" s="464"/>
      <c r="E106" s="465" t="s">
        <v>2881</v>
      </c>
      <c r="F106" s="466" t="s">
        <v>2808</v>
      </c>
      <c r="G106" s="464"/>
      <c r="H106" s="477">
        <v>44936</v>
      </c>
      <c r="I106" s="488">
        <f t="shared" si="4"/>
        <v>24143813.513513513</v>
      </c>
      <c r="J106" s="488">
        <f t="shared" si="5"/>
        <v>2655819.4864864866</v>
      </c>
      <c r="K106" s="474">
        <f>7410798+7243560+12145275</f>
        <v>26799633</v>
      </c>
      <c r="L106" s="475"/>
    </row>
    <row r="107" spans="1:12" x14ac:dyDescent="0.2">
      <c r="A107" s="305">
        <v>102</v>
      </c>
      <c r="B107" s="469" t="s">
        <v>503</v>
      </c>
      <c r="C107" s="476" t="s">
        <v>3072</v>
      </c>
      <c r="D107" s="464"/>
      <c r="E107" s="465" t="s">
        <v>2907</v>
      </c>
      <c r="F107" s="466" t="s">
        <v>2926</v>
      </c>
      <c r="G107" s="464"/>
      <c r="H107" s="477">
        <v>44937</v>
      </c>
      <c r="I107" s="473">
        <f t="shared" si="4"/>
        <v>22058075.675675675</v>
      </c>
      <c r="J107" s="473">
        <f t="shared" si="5"/>
        <v>2426388.3243243243</v>
      </c>
      <c r="K107" s="474">
        <f>4358448+18911232+1214784</f>
        <v>24484464</v>
      </c>
      <c r="L107" s="475"/>
    </row>
    <row r="108" spans="1:12" x14ac:dyDescent="0.2">
      <c r="A108" s="305">
        <v>103</v>
      </c>
      <c r="B108" s="485" t="s">
        <v>504</v>
      </c>
      <c r="C108" s="476" t="s">
        <v>3074</v>
      </c>
      <c r="D108" s="464"/>
      <c r="E108" s="465" t="s">
        <v>2981</v>
      </c>
      <c r="F108" s="466" t="s">
        <v>2982</v>
      </c>
      <c r="G108" s="464"/>
      <c r="H108" s="477">
        <v>44937</v>
      </c>
      <c r="I108" s="488">
        <f t="shared" si="4"/>
        <v>3964272.9729729728</v>
      </c>
      <c r="J108" s="488">
        <f t="shared" si="5"/>
        <v>436070.02702702698</v>
      </c>
      <c r="K108" s="474">
        <f>1457775+2942568</f>
        <v>4400343</v>
      </c>
      <c r="L108" s="475"/>
    </row>
    <row r="109" spans="1:12" x14ac:dyDescent="0.2">
      <c r="A109" s="305">
        <v>104</v>
      </c>
      <c r="B109" s="469" t="s">
        <v>505</v>
      </c>
      <c r="C109" s="476" t="s">
        <v>3169</v>
      </c>
      <c r="D109" s="464"/>
      <c r="E109" s="465" t="s">
        <v>2984</v>
      </c>
      <c r="F109" s="466" t="s">
        <v>2873</v>
      </c>
      <c r="G109" s="464"/>
      <c r="H109" s="477">
        <v>44937</v>
      </c>
      <c r="I109" s="473">
        <f t="shared" si="4"/>
        <v>4581981.0810810803</v>
      </c>
      <c r="J109" s="473">
        <f t="shared" si="5"/>
        <v>504017.91891891882</v>
      </c>
      <c r="K109" s="474">
        <f>1216478+2115574+1753947</f>
        <v>5085999</v>
      </c>
      <c r="L109" s="475"/>
    </row>
    <row r="110" spans="1:12" x14ac:dyDescent="0.2">
      <c r="A110" s="305">
        <v>105</v>
      </c>
      <c r="B110" s="485" t="s">
        <v>506</v>
      </c>
      <c r="C110" s="476" t="s">
        <v>2985</v>
      </c>
      <c r="D110" s="464"/>
      <c r="E110" s="465" t="s">
        <v>2986</v>
      </c>
      <c r="F110" s="466" t="s">
        <v>2987</v>
      </c>
      <c r="G110" s="464"/>
      <c r="H110" s="477">
        <v>44937</v>
      </c>
      <c r="I110" s="488">
        <f t="shared" si="4"/>
        <v>769037.83783783775</v>
      </c>
      <c r="J110" s="488">
        <f t="shared" si="5"/>
        <v>84594.16216216216</v>
      </c>
      <c r="K110" s="474">
        <v>853632</v>
      </c>
      <c r="L110" s="475"/>
    </row>
    <row r="111" spans="1:12" x14ac:dyDescent="0.2">
      <c r="A111" s="305">
        <v>106</v>
      </c>
      <c r="B111" s="469" t="s">
        <v>507</v>
      </c>
      <c r="C111" s="476" t="s">
        <v>2989</v>
      </c>
      <c r="D111" s="464"/>
      <c r="E111" s="465" t="s">
        <v>2990</v>
      </c>
      <c r="F111" s="466" t="s">
        <v>2987</v>
      </c>
      <c r="G111" s="464"/>
      <c r="H111" s="477">
        <v>44937</v>
      </c>
      <c r="I111" s="473">
        <f t="shared" si="4"/>
        <v>1647145.9459459458</v>
      </c>
      <c r="J111" s="473">
        <f t="shared" si="5"/>
        <v>181186.05405405405</v>
      </c>
      <c r="K111" s="474">
        <v>1828332</v>
      </c>
      <c r="L111" s="475"/>
    </row>
    <row r="112" spans="1:12" x14ac:dyDescent="0.2">
      <c r="A112" s="305">
        <v>107</v>
      </c>
      <c r="B112" s="485" t="s">
        <v>508</v>
      </c>
      <c r="C112" s="480" t="s">
        <v>3165</v>
      </c>
      <c r="D112" s="481"/>
      <c r="E112" s="482" t="s">
        <v>2907</v>
      </c>
      <c r="F112" s="483" t="s">
        <v>2792</v>
      </c>
      <c r="G112" s="513"/>
      <c r="H112" s="484">
        <v>44937</v>
      </c>
      <c r="I112" s="488">
        <f t="shared" si="4"/>
        <v>2374989.1891891891</v>
      </c>
      <c r="J112" s="488">
        <f t="shared" si="5"/>
        <v>261248.8108108108</v>
      </c>
      <c r="K112" s="474">
        <f>930000+680238+1026000</f>
        <v>2636238</v>
      </c>
      <c r="L112" s="475"/>
    </row>
    <row r="113" spans="1:12" x14ac:dyDescent="0.2">
      <c r="A113" s="305">
        <v>108</v>
      </c>
      <c r="B113" s="469" t="s">
        <v>509</v>
      </c>
      <c r="C113" s="476" t="s">
        <v>3049</v>
      </c>
      <c r="D113" s="464"/>
      <c r="E113" s="471" t="s">
        <v>2991</v>
      </c>
      <c r="F113" s="471" t="s">
        <v>2886</v>
      </c>
      <c r="G113" s="464"/>
      <c r="H113" s="477">
        <v>44937</v>
      </c>
      <c r="I113" s="473">
        <f t="shared" si="4"/>
        <v>8047167.5675675664</v>
      </c>
      <c r="J113" s="473">
        <f t="shared" si="5"/>
        <v>885188.43243243231</v>
      </c>
      <c r="K113" s="474">
        <f>2954880+5977476</f>
        <v>8932356</v>
      </c>
      <c r="L113" s="475"/>
    </row>
    <row r="114" spans="1:12" x14ac:dyDescent="0.2">
      <c r="A114" s="305">
        <v>109</v>
      </c>
      <c r="B114" s="485" t="s">
        <v>510</v>
      </c>
      <c r="C114" s="476" t="s">
        <v>2992</v>
      </c>
      <c r="D114" s="464"/>
      <c r="E114" s="465" t="s">
        <v>3517</v>
      </c>
      <c r="F114" s="466" t="s">
        <v>2912</v>
      </c>
      <c r="G114" s="464"/>
      <c r="H114" s="477">
        <v>44937</v>
      </c>
      <c r="I114" s="488">
        <f t="shared" si="4"/>
        <v>486486.48648648645</v>
      </c>
      <c r="J114" s="488">
        <f t="shared" si="5"/>
        <v>53513.513513513513</v>
      </c>
      <c r="K114" s="474">
        <v>540000</v>
      </c>
      <c r="L114" s="475"/>
    </row>
    <row r="115" spans="1:12" x14ac:dyDescent="0.2">
      <c r="A115" s="305">
        <v>110</v>
      </c>
      <c r="B115" s="469" t="s">
        <v>511</v>
      </c>
      <c r="C115" s="476" t="s">
        <v>3073</v>
      </c>
      <c r="D115" s="464"/>
      <c r="E115" s="465" t="s">
        <v>2993</v>
      </c>
      <c r="F115" s="466" t="s">
        <v>2994</v>
      </c>
      <c r="G115" s="464"/>
      <c r="H115" s="477">
        <v>44937</v>
      </c>
      <c r="I115" s="473">
        <f t="shared" si="4"/>
        <v>9650870.2702702694</v>
      </c>
      <c r="J115" s="473">
        <f t="shared" si="5"/>
        <v>1061595.7297297297</v>
      </c>
      <c r="K115" s="474">
        <f>5827680+3213432+1671354</f>
        <v>10712466</v>
      </c>
      <c r="L115" s="475"/>
    </row>
    <row r="116" spans="1:12" x14ac:dyDescent="0.2">
      <c r="A116" s="305">
        <v>111</v>
      </c>
      <c r="B116" s="485" t="s">
        <v>512</v>
      </c>
      <c r="C116" s="476" t="s">
        <v>3039</v>
      </c>
      <c r="D116" s="464"/>
      <c r="E116" s="465" t="s">
        <v>2995</v>
      </c>
      <c r="F116" s="466" t="s">
        <v>2940</v>
      </c>
      <c r="G116" s="464"/>
      <c r="H116" s="477">
        <v>44937</v>
      </c>
      <c r="I116" s="488">
        <f t="shared" si="4"/>
        <v>1064864.8648648649</v>
      </c>
      <c r="J116" s="488">
        <f t="shared" si="5"/>
        <v>117135.13513513513</v>
      </c>
      <c r="K116" s="474">
        <f>750000+432000</f>
        <v>1182000</v>
      </c>
      <c r="L116" s="475"/>
    </row>
    <row r="117" spans="1:12" x14ac:dyDescent="0.2">
      <c r="A117" s="305">
        <v>112</v>
      </c>
      <c r="B117" s="469" t="s">
        <v>513</v>
      </c>
      <c r="C117" s="476" t="s">
        <v>3057</v>
      </c>
      <c r="D117" s="464"/>
      <c r="E117" s="465" t="s">
        <v>2996</v>
      </c>
      <c r="F117" s="466" t="s">
        <v>2785</v>
      </c>
      <c r="G117" s="464"/>
      <c r="H117" s="477">
        <v>44938</v>
      </c>
      <c r="I117" s="473">
        <f t="shared" si="4"/>
        <v>34016983.783783779</v>
      </c>
      <c r="J117" s="473">
        <f t="shared" si="5"/>
        <v>3741868.2162162159</v>
      </c>
      <c r="K117" s="474">
        <f>4376916+28986552+4395384</f>
        <v>37758852</v>
      </c>
      <c r="L117" s="475"/>
    </row>
    <row r="118" spans="1:12" x14ac:dyDescent="0.2">
      <c r="A118" s="305">
        <v>113</v>
      </c>
      <c r="B118" s="485" t="s">
        <v>514</v>
      </c>
      <c r="C118" s="476" t="s">
        <v>2999</v>
      </c>
      <c r="D118" s="464"/>
      <c r="E118" s="465" t="s">
        <v>3000</v>
      </c>
      <c r="F118" s="466" t="s">
        <v>3001</v>
      </c>
      <c r="G118" s="464"/>
      <c r="H118" s="477">
        <v>44938</v>
      </c>
      <c r="I118" s="488">
        <f t="shared" si="4"/>
        <v>90090.090090090089</v>
      </c>
      <c r="J118" s="488">
        <f t="shared" si="5"/>
        <v>9909.9099099099094</v>
      </c>
      <c r="K118" s="474">
        <v>100000</v>
      </c>
      <c r="L118" s="475"/>
    </row>
    <row r="119" spans="1:12" x14ac:dyDescent="0.2">
      <c r="A119" s="305">
        <v>114</v>
      </c>
      <c r="B119" s="469" t="s">
        <v>515</v>
      </c>
      <c r="C119" s="476" t="s">
        <v>3002</v>
      </c>
      <c r="D119" s="464"/>
      <c r="E119" s="465" t="s">
        <v>3003</v>
      </c>
      <c r="F119" s="466" t="s">
        <v>2953</v>
      </c>
      <c r="G119" s="464"/>
      <c r="H119" s="477">
        <v>44938</v>
      </c>
      <c r="I119" s="473">
        <f t="shared" si="4"/>
        <v>1511270.2702702701</v>
      </c>
      <c r="J119" s="473">
        <f t="shared" si="5"/>
        <v>166239.7297297297</v>
      </c>
      <c r="K119" s="474">
        <v>1677510</v>
      </c>
      <c r="L119" s="475"/>
    </row>
    <row r="120" spans="1:12" x14ac:dyDescent="0.2">
      <c r="A120" s="305">
        <v>115</v>
      </c>
      <c r="B120" s="485" t="s">
        <v>516</v>
      </c>
      <c r="C120" s="476" t="s">
        <v>3005</v>
      </c>
      <c r="D120" s="464"/>
      <c r="E120" s="465" t="s">
        <v>3004</v>
      </c>
      <c r="F120" s="466" t="s">
        <v>3006</v>
      </c>
      <c r="G120" s="464"/>
      <c r="H120" s="477">
        <v>44938</v>
      </c>
      <c r="I120" s="488">
        <f t="shared" si="4"/>
        <v>180243.24324324323</v>
      </c>
      <c r="J120" s="488">
        <f t="shared" si="5"/>
        <v>19826.756756756757</v>
      </c>
      <c r="K120" s="474">
        <v>200070</v>
      </c>
      <c r="L120" s="475"/>
    </row>
    <row r="121" spans="1:12" x14ac:dyDescent="0.2">
      <c r="A121" s="305">
        <v>116</v>
      </c>
      <c r="B121" s="469" t="s">
        <v>517</v>
      </c>
      <c r="C121" s="476" t="s">
        <v>3054</v>
      </c>
      <c r="D121" s="464"/>
      <c r="E121" s="465" t="s">
        <v>2906</v>
      </c>
      <c r="F121" s="466" t="s">
        <v>2892</v>
      </c>
      <c r="G121" s="464"/>
      <c r="H121" s="477">
        <v>44938</v>
      </c>
      <c r="I121" s="473">
        <f t="shared" si="4"/>
        <v>11092662.162162161</v>
      </c>
      <c r="J121" s="473">
        <f t="shared" si="5"/>
        <v>1220192.8378378376</v>
      </c>
      <c r="K121" s="474">
        <f>1303875+11008980</f>
        <v>12312855</v>
      </c>
      <c r="L121" s="475"/>
    </row>
    <row r="122" spans="1:12" x14ac:dyDescent="0.2">
      <c r="A122" s="305">
        <v>117</v>
      </c>
      <c r="B122" s="485" t="s">
        <v>518</v>
      </c>
      <c r="C122" s="476" t="s">
        <v>3012</v>
      </c>
      <c r="D122" s="464"/>
      <c r="E122" s="465" t="s">
        <v>3011</v>
      </c>
      <c r="F122" s="466" t="s">
        <v>2823</v>
      </c>
      <c r="G122" s="464"/>
      <c r="H122" s="477">
        <v>44939</v>
      </c>
      <c r="I122" s="488">
        <f t="shared" si="4"/>
        <v>18500351.351351351</v>
      </c>
      <c r="J122" s="488">
        <f t="shared" si="5"/>
        <v>2035038.6486486485</v>
      </c>
      <c r="K122" s="474">
        <f>5539374+7054776+7941240</f>
        <v>20535390</v>
      </c>
      <c r="L122" s="475"/>
    </row>
    <row r="123" spans="1:12" x14ac:dyDescent="0.2">
      <c r="A123" s="305">
        <v>118</v>
      </c>
      <c r="B123" s="469" t="s">
        <v>519</v>
      </c>
      <c r="C123" s="480" t="s">
        <v>3013</v>
      </c>
      <c r="D123" s="481"/>
      <c r="E123" s="482" t="s">
        <v>3014</v>
      </c>
      <c r="F123" s="483" t="s">
        <v>3006</v>
      </c>
      <c r="G123" s="513"/>
      <c r="H123" s="484">
        <v>44939</v>
      </c>
      <c r="I123" s="473">
        <f t="shared" si="4"/>
        <v>4475578.3783783782</v>
      </c>
      <c r="J123" s="473">
        <f t="shared" si="5"/>
        <v>492313.6216216216</v>
      </c>
      <c r="K123" s="474">
        <v>4967892</v>
      </c>
      <c r="L123" s="475"/>
    </row>
    <row r="124" spans="1:12" x14ac:dyDescent="0.2">
      <c r="A124" s="305">
        <v>119</v>
      </c>
      <c r="B124" s="485" t="s">
        <v>520</v>
      </c>
      <c r="C124" s="476" t="s">
        <v>3016</v>
      </c>
      <c r="D124" s="464"/>
      <c r="E124" s="471" t="s">
        <v>3017</v>
      </c>
      <c r="F124" s="471" t="s">
        <v>3018</v>
      </c>
      <c r="G124" s="464"/>
      <c r="H124" s="477">
        <v>44939</v>
      </c>
      <c r="I124" s="488">
        <f t="shared" si="4"/>
        <v>183016.21621621621</v>
      </c>
      <c r="J124" s="488">
        <f t="shared" si="5"/>
        <v>20131.783783783783</v>
      </c>
      <c r="K124" s="474">
        <v>203148</v>
      </c>
      <c r="L124" s="475"/>
    </row>
    <row r="125" spans="1:12" x14ac:dyDescent="0.2">
      <c r="A125" s="305">
        <v>120</v>
      </c>
      <c r="B125" s="469" t="s">
        <v>521</v>
      </c>
      <c r="C125" s="476" t="s">
        <v>3058</v>
      </c>
      <c r="D125" s="464"/>
      <c r="E125" s="465" t="s">
        <v>3020</v>
      </c>
      <c r="F125" s="466" t="s">
        <v>3021</v>
      </c>
      <c r="G125" s="464"/>
      <c r="H125" s="477">
        <v>44939</v>
      </c>
      <c r="I125" s="473">
        <f t="shared" si="4"/>
        <v>9313337.8378378376</v>
      </c>
      <c r="J125" s="473">
        <f t="shared" si="5"/>
        <v>1024467.1621621621</v>
      </c>
      <c r="K125" s="474">
        <f>4914540+4118193+1305072</f>
        <v>10337805</v>
      </c>
      <c r="L125" s="475"/>
    </row>
    <row r="126" spans="1:12" x14ac:dyDescent="0.2">
      <c r="A126" s="305">
        <v>121</v>
      </c>
      <c r="B126" s="485" t="s">
        <v>522</v>
      </c>
      <c r="C126" s="476" t="s">
        <v>3023</v>
      </c>
      <c r="D126" s="464"/>
      <c r="E126" s="465" t="s">
        <v>3024</v>
      </c>
      <c r="F126" s="466" t="s">
        <v>3025</v>
      </c>
      <c r="G126" s="464"/>
      <c r="H126" s="477">
        <v>44939</v>
      </c>
      <c r="I126" s="488">
        <f t="shared" si="4"/>
        <v>2218378.3783783782</v>
      </c>
      <c r="J126" s="488">
        <f t="shared" si="5"/>
        <v>244021.6216216216</v>
      </c>
      <c r="K126" s="474">
        <v>2462400</v>
      </c>
      <c r="L126" s="475"/>
    </row>
    <row r="127" spans="1:12" x14ac:dyDescent="0.2">
      <c r="A127" s="305">
        <v>122</v>
      </c>
      <c r="B127" s="469" t="s">
        <v>523</v>
      </c>
      <c r="C127" s="476" t="s">
        <v>3026</v>
      </c>
      <c r="D127" s="464"/>
      <c r="E127" s="465" t="s">
        <v>3027</v>
      </c>
      <c r="F127" s="466" t="s">
        <v>3025</v>
      </c>
      <c r="G127" s="464"/>
      <c r="H127" s="477">
        <v>44939</v>
      </c>
      <c r="I127" s="473">
        <f t="shared" si="4"/>
        <v>379897.29729729728</v>
      </c>
      <c r="J127" s="473">
        <f t="shared" si="5"/>
        <v>41788.7027027027</v>
      </c>
      <c r="K127" s="474">
        <v>421686</v>
      </c>
      <c r="L127" s="475"/>
    </row>
    <row r="128" spans="1:12" x14ac:dyDescent="0.2">
      <c r="A128" s="305">
        <v>123</v>
      </c>
      <c r="B128" s="485" t="s">
        <v>524</v>
      </c>
      <c r="C128" s="476" t="s">
        <v>3070</v>
      </c>
      <c r="D128" s="464"/>
      <c r="E128" s="465" t="s">
        <v>2907</v>
      </c>
      <c r="F128" s="466" t="s">
        <v>2858</v>
      </c>
      <c r="G128" s="464"/>
      <c r="H128" s="477">
        <v>44940</v>
      </c>
      <c r="I128" s="488">
        <f t="shared" si="4"/>
        <v>10515113.513513513</v>
      </c>
      <c r="J128" s="488">
        <f t="shared" si="5"/>
        <v>1156662.4864864864</v>
      </c>
      <c r="K128" s="474">
        <f>9640296+2031480</f>
        <v>11671776</v>
      </c>
      <c r="L128" s="475"/>
    </row>
    <row r="129" spans="1:12" x14ac:dyDescent="0.2">
      <c r="A129" s="305">
        <v>124</v>
      </c>
      <c r="B129" s="469" t="s">
        <v>525</v>
      </c>
      <c r="C129" s="476" t="s">
        <v>3066</v>
      </c>
      <c r="D129" s="464"/>
      <c r="E129" s="465" t="s">
        <v>2898</v>
      </c>
      <c r="F129" s="466" t="s">
        <v>2823</v>
      </c>
      <c r="G129" s="464"/>
      <c r="H129" s="477">
        <v>44940</v>
      </c>
      <c r="I129" s="473">
        <f t="shared" si="4"/>
        <v>30087914.414414413</v>
      </c>
      <c r="J129" s="473">
        <f t="shared" si="5"/>
        <v>3309670.5855855853</v>
      </c>
      <c r="K129" s="474">
        <f>13296960+9738025+10362600</f>
        <v>33397585</v>
      </c>
      <c r="L129" s="475"/>
    </row>
    <row r="130" spans="1:12" x14ac:dyDescent="0.2">
      <c r="A130" s="305">
        <v>125</v>
      </c>
      <c r="B130" s="485" t="s">
        <v>526</v>
      </c>
      <c r="C130" s="476" t="s">
        <v>3094</v>
      </c>
      <c r="D130" s="464"/>
      <c r="E130" s="465" t="s">
        <v>2937</v>
      </c>
      <c r="F130" s="466" t="s">
        <v>2823</v>
      </c>
      <c r="G130" s="464"/>
      <c r="H130" s="477">
        <v>44940</v>
      </c>
      <c r="I130" s="488">
        <f t="shared" si="4"/>
        <v>31215664.864864863</v>
      </c>
      <c r="J130" s="488">
        <f t="shared" si="5"/>
        <v>3433723.1351351351</v>
      </c>
      <c r="K130" s="474">
        <f>11327040+10727172+12595176</f>
        <v>34649388</v>
      </c>
      <c r="L130" s="475"/>
    </row>
    <row r="131" spans="1:12" x14ac:dyDescent="0.2">
      <c r="A131" s="305">
        <v>126</v>
      </c>
      <c r="B131" s="469" t="s">
        <v>527</v>
      </c>
      <c r="C131" s="476" t="s">
        <v>3028</v>
      </c>
      <c r="D131" s="464"/>
      <c r="E131" s="465" t="s">
        <v>3029</v>
      </c>
      <c r="F131" s="466" t="s">
        <v>3025</v>
      </c>
      <c r="G131" s="464"/>
      <c r="H131" s="477">
        <v>44942</v>
      </c>
      <c r="I131" s="473">
        <f t="shared" si="4"/>
        <v>378378.37837837834</v>
      </c>
      <c r="J131" s="473">
        <f t="shared" si="5"/>
        <v>41621.62162162162</v>
      </c>
      <c r="K131" s="474">
        <v>420000</v>
      </c>
      <c r="L131" s="475"/>
    </row>
    <row r="132" spans="1:12" x14ac:dyDescent="0.2">
      <c r="A132" s="305">
        <v>127</v>
      </c>
      <c r="B132" s="485" t="s">
        <v>528</v>
      </c>
      <c r="C132" s="476" t="s">
        <v>3062</v>
      </c>
      <c r="D132" s="464"/>
      <c r="E132" s="465" t="s">
        <v>3030</v>
      </c>
      <c r="F132" s="466" t="s">
        <v>2892</v>
      </c>
      <c r="G132" s="464"/>
      <c r="H132" s="477">
        <v>44942</v>
      </c>
      <c r="I132" s="488">
        <f t="shared" si="4"/>
        <v>5762914.4144144142</v>
      </c>
      <c r="J132" s="488">
        <f t="shared" si="5"/>
        <v>633920.58558558556</v>
      </c>
      <c r="K132" s="474">
        <f>5244912+1034360+117563</f>
        <v>6396835</v>
      </c>
      <c r="L132" s="475"/>
    </row>
    <row r="133" spans="1:12" x14ac:dyDescent="0.2">
      <c r="A133" s="305">
        <v>128</v>
      </c>
      <c r="B133" s="469" t="s">
        <v>529</v>
      </c>
      <c r="C133" s="476" t="s">
        <v>3031</v>
      </c>
      <c r="D133" s="464"/>
      <c r="E133" s="465" t="s">
        <v>3032</v>
      </c>
      <c r="F133" s="466" t="s">
        <v>3033</v>
      </c>
      <c r="G133" s="464"/>
      <c r="H133" s="477">
        <v>44942</v>
      </c>
      <c r="I133" s="473">
        <f t="shared" si="4"/>
        <v>196881.08108108107</v>
      </c>
      <c r="J133" s="473">
        <f t="shared" si="5"/>
        <v>21656.918918918916</v>
      </c>
      <c r="K133" s="474">
        <v>218538</v>
      </c>
      <c r="L133" s="475"/>
    </row>
    <row r="134" spans="1:12" x14ac:dyDescent="0.2">
      <c r="A134" s="305">
        <v>129</v>
      </c>
      <c r="B134" s="485" t="s">
        <v>530</v>
      </c>
      <c r="C134" s="480" t="s">
        <v>3034</v>
      </c>
      <c r="D134" s="481"/>
      <c r="E134" s="482" t="s">
        <v>3035</v>
      </c>
      <c r="F134" s="483" t="s">
        <v>2890</v>
      </c>
      <c r="G134" s="513"/>
      <c r="H134" s="484">
        <v>44942</v>
      </c>
      <c r="I134" s="488">
        <f t="shared" si="4"/>
        <v>585585.58558558556</v>
      </c>
      <c r="J134" s="488">
        <f t="shared" si="5"/>
        <v>64414.414414414416</v>
      </c>
      <c r="K134" s="474">
        <v>650000</v>
      </c>
      <c r="L134" s="475"/>
    </row>
    <row r="135" spans="1:12" x14ac:dyDescent="0.2">
      <c r="A135" s="305">
        <v>130</v>
      </c>
      <c r="B135" s="469" t="s">
        <v>531</v>
      </c>
      <c r="C135" s="476" t="s">
        <v>3056</v>
      </c>
      <c r="D135" s="464"/>
      <c r="E135" s="471" t="s">
        <v>2907</v>
      </c>
      <c r="F135" s="471" t="s">
        <v>2908</v>
      </c>
      <c r="G135" s="464"/>
      <c r="H135" s="477">
        <v>44942</v>
      </c>
      <c r="I135" s="473">
        <f t="shared" si="4"/>
        <v>9420063.0630630627</v>
      </c>
      <c r="J135" s="473">
        <f t="shared" si="5"/>
        <v>1036206.9369369369</v>
      </c>
      <c r="K135" s="474">
        <f>3152482+6897492+406296</f>
        <v>10456270</v>
      </c>
      <c r="L135" s="475"/>
    </row>
    <row r="136" spans="1:12" x14ac:dyDescent="0.2">
      <c r="A136" s="305">
        <v>131</v>
      </c>
      <c r="B136" s="485" t="s">
        <v>532</v>
      </c>
      <c r="C136" s="476" t="s">
        <v>3036</v>
      </c>
      <c r="D136" s="464"/>
      <c r="E136" s="465" t="s">
        <v>2927</v>
      </c>
      <c r="F136" s="466" t="s">
        <v>2928</v>
      </c>
      <c r="G136" s="464"/>
      <c r="H136" s="477">
        <v>44942</v>
      </c>
      <c r="I136" s="488">
        <f t="shared" ref="I136:I192" si="6">K136/1.11</f>
        <v>579551.35135135124</v>
      </c>
      <c r="J136" s="488">
        <f t="shared" ref="J136:J192" si="7">I136*11%</f>
        <v>63750.648648648639</v>
      </c>
      <c r="K136" s="474">
        <v>643302</v>
      </c>
      <c r="L136" s="475"/>
    </row>
    <row r="137" spans="1:12" x14ac:dyDescent="0.2">
      <c r="A137" s="305">
        <v>132</v>
      </c>
      <c r="B137" s="469" t="s">
        <v>533</v>
      </c>
      <c r="C137" s="476" t="s">
        <v>3064</v>
      </c>
      <c r="D137" s="464"/>
      <c r="E137" s="465" t="s">
        <v>2934</v>
      </c>
      <c r="F137" s="466" t="s">
        <v>2935</v>
      </c>
      <c r="G137" s="464"/>
      <c r="H137" s="477">
        <v>44943</v>
      </c>
      <c r="I137" s="473">
        <f t="shared" si="6"/>
        <v>10740112.612612613</v>
      </c>
      <c r="J137" s="473">
        <f t="shared" si="7"/>
        <v>1181412.3873873875</v>
      </c>
      <c r="K137" s="474">
        <f>3213432+1779084+6929009</f>
        <v>11921525</v>
      </c>
      <c r="L137" s="475"/>
    </row>
    <row r="138" spans="1:12" x14ac:dyDescent="0.2">
      <c r="A138" s="305">
        <v>133</v>
      </c>
      <c r="B138" s="485" t="s">
        <v>534</v>
      </c>
      <c r="C138" s="476" t="s">
        <v>3041</v>
      </c>
      <c r="D138" s="464"/>
      <c r="E138" s="465" t="s">
        <v>3040</v>
      </c>
      <c r="F138" s="466" t="s">
        <v>2886</v>
      </c>
      <c r="G138" s="464"/>
      <c r="H138" s="477">
        <v>44943</v>
      </c>
      <c r="I138" s="488">
        <f t="shared" si="6"/>
        <v>578280.18018018012</v>
      </c>
      <c r="J138" s="488">
        <f t="shared" si="7"/>
        <v>63610.819819819815</v>
      </c>
      <c r="K138" s="474">
        <v>641891</v>
      </c>
      <c r="L138" s="475"/>
    </row>
    <row r="139" spans="1:12" x14ac:dyDescent="0.2">
      <c r="A139" s="305">
        <v>134</v>
      </c>
      <c r="B139" s="469" t="s">
        <v>535</v>
      </c>
      <c r="C139" s="476" t="s">
        <v>3042</v>
      </c>
      <c r="D139" s="464"/>
      <c r="E139" s="465" t="s">
        <v>3043</v>
      </c>
      <c r="F139" s="466" t="s">
        <v>3044</v>
      </c>
      <c r="G139" s="464"/>
      <c r="H139" s="477">
        <v>44943</v>
      </c>
      <c r="I139" s="473">
        <f t="shared" si="6"/>
        <v>10342881.081081079</v>
      </c>
      <c r="J139" s="473">
        <f t="shared" si="7"/>
        <v>1137716.9189189188</v>
      </c>
      <c r="K139" s="474">
        <v>11480598</v>
      </c>
      <c r="L139" s="475"/>
    </row>
    <row r="140" spans="1:12" x14ac:dyDescent="0.2">
      <c r="A140" s="305">
        <v>135</v>
      </c>
      <c r="B140" s="485" t="s">
        <v>536</v>
      </c>
      <c r="C140" s="476" t="s">
        <v>3045</v>
      </c>
      <c r="D140" s="464"/>
      <c r="E140" s="465" t="s">
        <v>3046</v>
      </c>
      <c r="F140" s="466" t="s">
        <v>3047</v>
      </c>
      <c r="G140" s="464"/>
      <c r="H140" s="477">
        <v>44943</v>
      </c>
      <c r="I140" s="488">
        <f t="shared" si="6"/>
        <v>1756216.2162162161</v>
      </c>
      <c r="J140" s="488">
        <f t="shared" si="7"/>
        <v>193183.78378378376</v>
      </c>
      <c r="K140" s="474">
        <v>1949400</v>
      </c>
      <c r="L140" s="475"/>
    </row>
    <row r="141" spans="1:12" x14ac:dyDescent="0.2">
      <c r="A141" s="305">
        <v>136</v>
      </c>
      <c r="B141" s="469" t="s">
        <v>537</v>
      </c>
      <c r="C141" s="476" t="s">
        <v>3117</v>
      </c>
      <c r="D141" s="464"/>
      <c r="E141" s="465" t="s">
        <v>2881</v>
      </c>
      <c r="F141" s="466" t="s">
        <v>2808</v>
      </c>
      <c r="G141" s="464"/>
      <c r="H141" s="477">
        <v>44943</v>
      </c>
      <c r="I141" s="473">
        <f t="shared" si="6"/>
        <v>9716497.297297297</v>
      </c>
      <c r="J141" s="473">
        <f t="shared" si="7"/>
        <v>1068814.7027027027</v>
      </c>
      <c r="K141" s="474">
        <f>5310576+5474736</f>
        <v>10785312</v>
      </c>
      <c r="L141" s="475"/>
    </row>
    <row r="142" spans="1:12" x14ac:dyDescent="0.2">
      <c r="A142" s="305">
        <v>137</v>
      </c>
      <c r="B142" s="485" t="s">
        <v>538</v>
      </c>
      <c r="C142" s="476" t="s">
        <v>3050</v>
      </c>
      <c r="D142" s="464"/>
      <c r="E142" s="465" t="s">
        <v>3051</v>
      </c>
      <c r="F142" s="466" t="s">
        <v>3052</v>
      </c>
      <c r="G142" s="464"/>
      <c r="H142" s="477">
        <v>44944</v>
      </c>
      <c r="I142" s="488">
        <f t="shared" si="6"/>
        <v>393762.16216216213</v>
      </c>
      <c r="J142" s="488">
        <f t="shared" si="7"/>
        <v>43313.837837837833</v>
      </c>
      <c r="K142" s="474">
        <v>437076</v>
      </c>
      <c r="L142" s="475"/>
    </row>
    <row r="143" spans="1:12" x14ac:dyDescent="0.2">
      <c r="A143" s="305">
        <v>138</v>
      </c>
      <c r="B143" s="469" t="s">
        <v>539</v>
      </c>
      <c r="C143" s="476" t="s">
        <v>3069</v>
      </c>
      <c r="D143" s="464"/>
      <c r="E143" s="465" t="s">
        <v>2958</v>
      </c>
      <c r="F143" s="466" t="s">
        <v>2823</v>
      </c>
      <c r="G143" s="464"/>
      <c r="H143" s="477">
        <v>44943</v>
      </c>
      <c r="I143" s="473">
        <f t="shared" si="6"/>
        <v>11301765.765765766</v>
      </c>
      <c r="J143" s="473">
        <f t="shared" si="7"/>
        <v>1243194.2342342343</v>
      </c>
      <c r="K143" s="474">
        <f>6101680+6443280</f>
        <v>12544960</v>
      </c>
      <c r="L143" s="475"/>
    </row>
    <row r="144" spans="1:12" x14ac:dyDescent="0.2">
      <c r="A144" s="305">
        <v>139</v>
      </c>
      <c r="B144" s="485" t="s">
        <v>540</v>
      </c>
      <c r="C144" s="476" t="s">
        <v>3067</v>
      </c>
      <c r="D144" s="464"/>
      <c r="E144" s="465" t="s">
        <v>2900</v>
      </c>
      <c r="F144" s="466" t="s">
        <v>2823</v>
      </c>
      <c r="G144" s="464"/>
      <c r="H144" s="477">
        <v>44945</v>
      </c>
      <c r="I144" s="488">
        <f t="shared" si="6"/>
        <v>47589609.009009004</v>
      </c>
      <c r="J144" s="488">
        <f t="shared" si="7"/>
        <v>5234856.9909909908</v>
      </c>
      <c r="K144" s="474">
        <f>4681380+29843350+18299736</f>
        <v>52824466</v>
      </c>
      <c r="L144" s="475"/>
    </row>
    <row r="145" spans="1:12" x14ac:dyDescent="0.2">
      <c r="A145" s="305">
        <v>140</v>
      </c>
      <c r="B145" s="469" t="s">
        <v>541</v>
      </c>
      <c r="C145" s="480" t="s">
        <v>3088</v>
      </c>
      <c r="D145" s="481"/>
      <c r="E145" s="482" t="s">
        <v>2948</v>
      </c>
      <c r="F145" s="483" t="s">
        <v>2892</v>
      </c>
      <c r="G145" s="513"/>
      <c r="H145" s="484">
        <v>44945</v>
      </c>
      <c r="I145" s="473">
        <f t="shared" si="6"/>
        <v>15994354.054054054</v>
      </c>
      <c r="J145" s="473">
        <f t="shared" si="7"/>
        <v>1759378.9459459458</v>
      </c>
      <c r="K145" s="474">
        <f>15334425+1385100+1034208</f>
        <v>17753733</v>
      </c>
      <c r="L145" s="475"/>
    </row>
    <row r="146" spans="1:12" x14ac:dyDescent="0.2">
      <c r="A146" s="305">
        <v>141</v>
      </c>
      <c r="B146" s="485" t="s">
        <v>542</v>
      </c>
      <c r="C146" s="476" t="s">
        <v>3115</v>
      </c>
      <c r="D146" s="464"/>
      <c r="E146" s="465" t="s">
        <v>2945</v>
      </c>
      <c r="F146" s="466" t="s">
        <v>2946</v>
      </c>
      <c r="G146" s="464"/>
      <c r="H146" s="477">
        <v>44945</v>
      </c>
      <c r="I146" s="488">
        <f t="shared" si="6"/>
        <v>2883891.8918918916</v>
      </c>
      <c r="J146" s="488">
        <f t="shared" si="7"/>
        <v>317228.10810810811</v>
      </c>
      <c r="K146" s="474">
        <f>1305072+1305072+590976</f>
        <v>3201120</v>
      </c>
      <c r="L146" s="475"/>
    </row>
    <row r="147" spans="1:12" x14ac:dyDescent="0.2">
      <c r="A147" s="305">
        <v>142</v>
      </c>
      <c r="B147" s="469" t="s">
        <v>543</v>
      </c>
      <c r="C147" s="476" t="s">
        <v>3059</v>
      </c>
      <c r="D147" s="464"/>
      <c r="E147" s="465" t="s">
        <v>3060</v>
      </c>
      <c r="F147" s="466" t="s">
        <v>3061</v>
      </c>
      <c r="G147" s="464"/>
      <c r="H147" s="477">
        <v>44945</v>
      </c>
      <c r="I147" s="473">
        <f t="shared" si="6"/>
        <v>2942432.4324324322</v>
      </c>
      <c r="J147" s="473">
        <f t="shared" si="7"/>
        <v>323667.56756756752</v>
      </c>
      <c r="K147" s="474">
        <v>3266100</v>
      </c>
      <c r="L147" s="475"/>
    </row>
    <row r="148" spans="1:12" x14ac:dyDescent="0.2">
      <c r="A148" s="305">
        <v>143</v>
      </c>
      <c r="B148" s="485" t="s">
        <v>544</v>
      </c>
      <c r="C148" s="476" t="s">
        <v>3149</v>
      </c>
      <c r="D148" s="464"/>
      <c r="E148" s="465" t="s">
        <v>2893</v>
      </c>
      <c r="F148" s="466" t="s">
        <v>2890</v>
      </c>
      <c r="G148" s="464"/>
      <c r="H148" s="477">
        <v>44945</v>
      </c>
      <c r="I148" s="488">
        <f t="shared" si="6"/>
        <v>5481243.2432432426</v>
      </c>
      <c r="J148" s="488">
        <f t="shared" si="7"/>
        <v>602936.75675675669</v>
      </c>
      <c r="K148" s="474">
        <f>4803732+1280448</f>
        <v>6084180</v>
      </c>
      <c r="L148" s="475"/>
    </row>
    <row r="149" spans="1:12" x14ac:dyDescent="0.2">
      <c r="A149" s="305">
        <v>144</v>
      </c>
      <c r="B149" s="469" t="s">
        <v>545</v>
      </c>
      <c r="C149" s="476" t="s">
        <v>3065</v>
      </c>
      <c r="D149" s="464"/>
      <c r="E149" s="465" t="s">
        <v>3011</v>
      </c>
      <c r="F149" s="466" t="s">
        <v>2823</v>
      </c>
      <c r="G149" s="464"/>
      <c r="H149" s="477">
        <v>44946</v>
      </c>
      <c r="I149" s="473">
        <f t="shared" si="6"/>
        <v>20246245.945945945</v>
      </c>
      <c r="J149" s="473">
        <f t="shared" si="7"/>
        <v>2227087.054054054</v>
      </c>
      <c r="K149" s="474">
        <v>22473333</v>
      </c>
      <c r="L149" s="475"/>
    </row>
    <row r="150" spans="1:12" x14ac:dyDescent="0.2">
      <c r="A150" s="305">
        <v>145</v>
      </c>
      <c r="B150" s="485" t="s">
        <v>546</v>
      </c>
      <c r="C150" s="480" t="s">
        <v>3125</v>
      </c>
      <c r="D150" s="481"/>
      <c r="E150" s="482" t="s">
        <v>2898</v>
      </c>
      <c r="F150" s="483" t="s">
        <v>2823</v>
      </c>
      <c r="G150" s="513"/>
      <c r="H150" s="484">
        <v>44952</v>
      </c>
      <c r="I150" s="488">
        <f t="shared" si="6"/>
        <v>7768232.4324324317</v>
      </c>
      <c r="J150" s="488">
        <f t="shared" si="7"/>
        <v>854505.56756756746</v>
      </c>
      <c r="K150" s="474">
        <f>2653470+1715472+4253796</f>
        <v>8622738</v>
      </c>
      <c r="L150" s="475"/>
    </row>
    <row r="151" spans="1:12" x14ac:dyDescent="0.2">
      <c r="A151" s="305">
        <v>146</v>
      </c>
      <c r="B151" s="469" t="s">
        <v>547</v>
      </c>
      <c r="C151" s="476" t="s">
        <v>3096</v>
      </c>
      <c r="D151" s="464"/>
      <c r="E151" s="465" t="s">
        <v>2996</v>
      </c>
      <c r="F151" s="466" t="s">
        <v>2785</v>
      </c>
      <c r="G151" s="464"/>
      <c r="H151" s="477">
        <v>44946</v>
      </c>
      <c r="I151" s="473">
        <f t="shared" si="6"/>
        <v>11441286.486486485</v>
      </c>
      <c r="J151" s="473">
        <f t="shared" si="7"/>
        <v>1258541.5135135134</v>
      </c>
      <c r="K151" s="474">
        <f>7344108+5355720</f>
        <v>12699828</v>
      </c>
      <c r="L151" s="475"/>
    </row>
    <row r="152" spans="1:12" x14ac:dyDescent="0.2">
      <c r="A152" s="305">
        <v>147</v>
      </c>
      <c r="B152" s="485" t="s">
        <v>548</v>
      </c>
      <c r="C152" s="476" t="s">
        <v>3075</v>
      </c>
      <c r="D152" s="464"/>
      <c r="E152" s="465" t="s">
        <v>3076</v>
      </c>
      <c r="F152" s="466" t="s">
        <v>3077</v>
      </c>
      <c r="G152" s="464"/>
      <c r="H152" s="477">
        <v>44946</v>
      </c>
      <c r="I152" s="488">
        <f t="shared" si="6"/>
        <v>1294978.3783783782</v>
      </c>
      <c r="J152" s="488">
        <f t="shared" si="7"/>
        <v>142447.6216216216</v>
      </c>
      <c r="K152" s="474">
        <v>1437426</v>
      </c>
      <c r="L152" s="475"/>
    </row>
    <row r="153" spans="1:12" x14ac:dyDescent="0.2">
      <c r="A153" s="305">
        <v>148</v>
      </c>
      <c r="B153" s="469" t="s">
        <v>549</v>
      </c>
      <c r="C153" s="476" t="s">
        <v>3118</v>
      </c>
      <c r="D153" s="464"/>
      <c r="E153" s="465" t="s">
        <v>3020</v>
      </c>
      <c r="F153" s="466" t="s">
        <v>3021</v>
      </c>
      <c r="G153" s="464"/>
      <c r="H153" s="477">
        <v>44947</v>
      </c>
      <c r="I153" s="473">
        <f t="shared" si="6"/>
        <v>6219778.3783783782</v>
      </c>
      <c r="J153" s="473">
        <f t="shared" si="7"/>
        <v>684175.62162162166</v>
      </c>
      <c r="K153" s="474">
        <f>5232600+1671354</f>
        <v>6903954</v>
      </c>
      <c r="L153" s="475"/>
    </row>
    <row r="154" spans="1:12" x14ac:dyDescent="0.2">
      <c r="A154" s="305">
        <v>149</v>
      </c>
      <c r="B154" s="485" t="s">
        <v>550</v>
      </c>
      <c r="C154" s="476" t="s">
        <v>3079</v>
      </c>
      <c r="D154" s="464"/>
      <c r="E154" s="465" t="s">
        <v>3080</v>
      </c>
      <c r="F154" s="466" t="s">
        <v>2982</v>
      </c>
      <c r="G154" s="464"/>
      <c r="H154" s="477">
        <v>44947</v>
      </c>
      <c r="I154" s="488">
        <f t="shared" si="6"/>
        <v>1154054.054054054</v>
      </c>
      <c r="J154" s="488">
        <f t="shared" si="7"/>
        <v>126945.94594594593</v>
      </c>
      <c r="K154" s="474">
        <v>1281000</v>
      </c>
      <c r="L154" s="475"/>
    </row>
    <row r="155" spans="1:12" x14ac:dyDescent="0.2">
      <c r="A155" s="305">
        <v>150</v>
      </c>
      <c r="B155" s="469" t="s">
        <v>551</v>
      </c>
      <c r="C155" s="476" t="s">
        <v>3081</v>
      </c>
      <c r="D155" s="464"/>
      <c r="E155" s="465" t="s">
        <v>3082</v>
      </c>
      <c r="F155" s="466" t="s">
        <v>3061</v>
      </c>
      <c r="G155" s="464"/>
      <c r="H155" s="477">
        <v>44947</v>
      </c>
      <c r="I155" s="473">
        <f t="shared" si="6"/>
        <v>1866666.6666666665</v>
      </c>
      <c r="J155" s="473">
        <f t="shared" si="7"/>
        <v>205333.33333333331</v>
      </c>
      <c r="K155" s="474">
        <v>2072000</v>
      </c>
      <c r="L155" s="475"/>
    </row>
    <row r="156" spans="1:12" x14ac:dyDescent="0.2">
      <c r="A156" s="305">
        <v>151</v>
      </c>
      <c r="B156" s="485" t="s">
        <v>552</v>
      </c>
      <c r="C156" s="476" t="s">
        <v>3166</v>
      </c>
      <c r="D156" s="464"/>
      <c r="E156" s="465" t="s">
        <v>3085</v>
      </c>
      <c r="F156" s="466" t="s">
        <v>2982</v>
      </c>
      <c r="G156" s="464"/>
      <c r="H156" s="477">
        <v>44947</v>
      </c>
      <c r="I156" s="488">
        <f t="shared" si="6"/>
        <v>4968705.405405405</v>
      </c>
      <c r="J156" s="488">
        <f t="shared" si="7"/>
        <v>546557.59459459456</v>
      </c>
      <c r="K156" s="474">
        <f>4234815+1280448</f>
        <v>5515263</v>
      </c>
      <c r="L156" s="475"/>
    </row>
    <row r="157" spans="1:12" x14ac:dyDescent="0.2">
      <c r="A157" s="305">
        <v>152</v>
      </c>
      <c r="B157" s="469" t="s">
        <v>553</v>
      </c>
      <c r="C157" s="476" t="s">
        <v>3086</v>
      </c>
      <c r="D157" s="464"/>
      <c r="E157" s="465" t="s">
        <v>3087</v>
      </c>
      <c r="F157" s="466" t="s">
        <v>2919</v>
      </c>
      <c r="G157" s="464"/>
      <c r="H157" s="477">
        <v>44950</v>
      </c>
      <c r="I157" s="473">
        <f t="shared" si="6"/>
        <v>1574405.4054054052</v>
      </c>
      <c r="J157" s="473">
        <f t="shared" si="7"/>
        <v>173184.59459459459</v>
      </c>
      <c r="K157" s="474">
        <v>1747590</v>
      </c>
      <c r="L157" s="475"/>
    </row>
    <row r="158" spans="1:12" x14ac:dyDescent="0.2">
      <c r="A158" s="305">
        <v>153</v>
      </c>
      <c r="B158" s="485" t="s">
        <v>554</v>
      </c>
      <c r="C158" s="480" t="s">
        <v>3089</v>
      </c>
      <c r="D158" s="481"/>
      <c r="E158" s="482" t="s">
        <v>3090</v>
      </c>
      <c r="F158" s="483" t="s">
        <v>2873</v>
      </c>
      <c r="G158" s="513"/>
      <c r="H158" s="484">
        <v>44950</v>
      </c>
      <c r="I158" s="488">
        <f t="shared" si="6"/>
        <v>99099.099099099083</v>
      </c>
      <c r="J158" s="488">
        <f t="shared" si="7"/>
        <v>10900.900900900899</v>
      </c>
      <c r="K158" s="474">
        <v>110000</v>
      </c>
      <c r="L158" s="475"/>
    </row>
    <row r="159" spans="1:12" x14ac:dyDescent="0.2">
      <c r="A159" s="305">
        <v>154</v>
      </c>
      <c r="B159" s="469" t="s">
        <v>555</v>
      </c>
      <c r="C159" s="476" t="s">
        <v>3091</v>
      </c>
      <c r="D159" s="464"/>
      <c r="E159" s="465" t="s">
        <v>2907</v>
      </c>
      <c r="F159" s="466" t="s">
        <v>3092</v>
      </c>
      <c r="G159" s="464"/>
      <c r="H159" s="477">
        <v>44950</v>
      </c>
      <c r="I159" s="473">
        <f t="shared" si="6"/>
        <v>4376213.5135135129</v>
      </c>
      <c r="J159" s="473">
        <f t="shared" si="7"/>
        <v>481383.48648648645</v>
      </c>
      <c r="K159" s="474">
        <v>4857597</v>
      </c>
      <c r="L159" s="475"/>
    </row>
    <row r="160" spans="1:12" x14ac:dyDescent="0.2">
      <c r="A160" s="305">
        <v>155</v>
      </c>
      <c r="B160" s="485" t="s">
        <v>556</v>
      </c>
      <c r="C160" s="476" t="s">
        <v>3095</v>
      </c>
      <c r="D160" s="464"/>
      <c r="E160" s="465" t="s">
        <v>2889</v>
      </c>
      <c r="F160" s="466" t="s">
        <v>2808</v>
      </c>
      <c r="G160" s="464"/>
      <c r="H160" s="477">
        <v>44950</v>
      </c>
      <c r="I160" s="488">
        <f t="shared" si="6"/>
        <v>16610108.108108107</v>
      </c>
      <c r="J160" s="488">
        <f t="shared" si="7"/>
        <v>1827111.8918918918</v>
      </c>
      <c r="K160" s="474">
        <f>9240156+9197064</f>
        <v>18437220</v>
      </c>
      <c r="L160" s="475"/>
    </row>
    <row r="161" spans="1:12" x14ac:dyDescent="0.2">
      <c r="A161" s="305">
        <v>156</v>
      </c>
      <c r="B161" s="469" t="s">
        <v>557</v>
      </c>
      <c r="C161" s="476" t="s">
        <v>3093</v>
      </c>
      <c r="D161" s="464"/>
      <c r="E161" s="465" t="s">
        <v>2887</v>
      </c>
      <c r="F161" s="466" t="s">
        <v>2888</v>
      </c>
      <c r="G161" s="464"/>
      <c r="H161" s="477">
        <v>44950</v>
      </c>
      <c r="I161" s="473">
        <f t="shared" si="6"/>
        <v>6982345.9459459456</v>
      </c>
      <c r="J161" s="473">
        <f t="shared" si="7"/>
        <v>768058.05405405397</v>
      </c>
      <c r="K161" s="474">
        <v>7750404</v>
      </c>
      <c r="L161" s="475"/>
    </row>
    <row r="162" spans="1:12" x14ac:dyDescent="0.2">
      <c r="A162" s="305">
        <v>157</v>
      </c>
      <c r="B162" s="485" t="s">
        <v>558</v>
      </c>
      <c r="C162" s="476" t="s">
        <v>3119</v>
      </c>
      <c r="D162" s="464"/>
      <c r="E162" s="465" t="s">
        <v>2934</v>
      </c>
      <c r="F162" s="466" t="s">
        <v>2935</v>
      </c>
      <c r="G162" s="464"/>
      <c r="H162" s="477">
        <v>44950</v>
      </c>
      <c r="I162" s="488">
        <f t="shared" si="6"/>
        <v>9087956.7567567565</v>
      </c>
      <c r="J162" s="488">
        <f t="shared" si="7"/>
        <v>999675.2432432432</v>
      </c>
      <c r="K162" s="474">
        <f>430920+6110856+3545856</f>
        <v>10087632</v>
      </c>
      <c r="L162" s="475"/>
    </row>
    <row r="163" spans="1:12" x14ac:dyDescent="0.2">
      <c r="A163" s="305">
        <v>158</v>
      </c>
      <c r="B163" s="469" t="s">
        <v>559</v>
      </c>
      <c r="C163" s="480" t="s">
        <v>3098</v>
      </c>
      <c r="D163" s="481"/>
      <c r="E163" s="482" t="s">
        <v>3099</v>
      </c>
      <c r="F163" s="483" t="s">
        <v>2823</v>
      </c>
      <c r="G163" s="513"/>
      <c r="H163" s="484">
        <v>44948</v>
      </c>
      <c r="I163" s="473">
        <f t="shared" si="6"/>
        <v>41534291.891891889</v>
      </c>
      <c r="J163" s="473">
        <f t="shared" si="7"/>
        <v>4568772.1081081079</v>
      </c>
      <c r="K163" s="474">
        <f>14744400+31358664</f>
        <v>46103064</v>
      </c>
      <c r="L163" s="475"/>
    </row>
    <row r="164" spans="1:12" x14ac:dyDescent="0.2">
      <c r="A164" s="305">
        <v>159</v>
      </c>
      <c r="B164" s="485" t="s">
        <v>560</v>
      </c>
      <c r="C164" s="476" t="s">
        <v>3100</v>
      </c>
      <c r="D164" s="464"/>
      <c r="E164" s="465" t="s">
        <v>3101</v>
      </c>
      <c r="F164" s="466" t="s">
        <v>3077</v>
      </c>
      <c r="G164" s="464"/>
      <c r="H164" s="477">
        <v>44951</v>
      </c>
      <c r="I164" s="488">
        <f t="shared" si="6"/>
        <v>1189189.1891891891</v>
      </c>
      <c r="J164" s="488">
        <f t="shared" si="7"/>
        <v>130810.8108108108</v>
      </c>
      <c r="K164" s="474">
        <v>1320000</v>
      </c>
      <c r="L164" s="475"/>
    </row>
    <row r="165" spans="1:12" x14ac:dyDescent="0.2">
      <c r="A165" s="305">
        <v>160</v>
      </c>
      <c r="B165" s="469" t="s">
        <v>561</v>
      </c>
      <c r="C165" s="476" t="s">
        <v>3134</v>
      </c>
      <c r="D165" s="464"/>
      <c r="E165" s="465" t="s">
        <v>2894</v>
      </c>
      <c r="F165" s="466" t="s">
        <v>2851</v>
      </c>
      <c r="G165" s="464"/>
      <c r="H165" s="477">
        <v>44951</v>
      </c>
      <c r="I165" s="473">
        <f t="shared" si="6"/>
        <v>37801167.567567565</v>
      </c>
      <c r="J165" s="473">
        <f t="shared" si="7"/>
        <v>4158128.4324324322</v>
      </c>
      <c r="K165" s="474">
        <f>1846800+23398956+16713540</f>
        <v>41959296</v>
      </c>
      <c r="L165" s="475"/>
    </row>
    <row r="166" spans="1:12" x14ac:dyDescent="0.2">
      <c r="A166" s="305">
        <v>161</v>
      </c>
      <c r="B166" s="485" t="s">
        <v>562</v>
      </c>
      <c r="C166" s="476" t="s">
        <v>3113</v>
      </c>
      <c r="D166" s="464"/>
      <c r="E166" s="465" t="s">
        <v>2939</v>
      </c>
      <c r="F166" s="466" t="s">
        <v>2940</v>
      </c>
      <c r="G166" s="464"/>
      <c r="H166" s="477">
        <v>44952</v>
      </c>
      <c r="I166" s="488">
        <f t="shared" si="6"/>
        <v>12498713.513513513</v>
      </c>
      <c r="J166" s="488">
        <f t="shared" si="7"/>
        <v>1374858.4864864864</v>
      </c>
      <c r="K166" s="474">
        <f>1513350+12360222</f>
        <v>13873572</v>
      </c>
      <c r="L166" s="475"/>
    </row>
    <row r="167" spans="1:12" x14ac:dyDescent="0.2">
      <c r="A167" s="305">
        <v>162</v>
      </c>
      <c r="B167" s="469" t="s">
        <v>563</v>
      </c>
      <c r="C167" s="476" t="s">
        <v>3103</v>
      </c>
      <c r="D167" s="464"/>
      <c r="E167" s="465" t="s">
        <v>3104</v>
      </c>
      <c r="F167" s="466" t="s">
        <v>3061</v>
      </c>
      <c r="G167" s="464"/>
      <c r="H167" s="477">
        <v>44952</v>
      </c>
      <c r="I167" s="473">
        <f t="shared" si="6"/>
        <v>376396.39639639639</v>
      </c>
      <c r="J167" s="473">
        <f t="shared" si="7"/>
        <v>41403.603603603602</v>
      </c>
      <c r="K167" s="474">
        <v>417800</v>
      </c>
      <c r="L167" s="475"/>
    </row>
    <row r="168" spans="1:12" x14ac:dyDescent="0.2">
      <c r="A168" s="305">
        <v>163</v>
      </c>
      <c r="B168" s="485" t="s">
        <v>564</v>
      </c>
      <c r="C168" s="476" t="s">
        <v>3123</v>
      </c>
      <c r="D168" s="464"/>
      <c r="E168" s="465" t="s">
        <v>2900</v>
      </c>
      <c r="F168" s="466" t="s">
        <v>2823</v>
      </c>
      <c r="G168" s="464"/>
      <c r="H168" s="477">
        <v>44952</v>
      </c>
      <c r="I168" s="488">
        <f t="shared" si="6"/>
        <v>16305081.081081079</v>
      </c>
      <c r="J168" s="488">
        <f t="shared" si="7"/>
        <v>1793558.9189189188</v>
      </c>
      <c r="K168" s="474">
        <f>4709340+13389300</f>
        <v>18098640</v>
      </c>
      <c r="L168" s="475"/>
    </row>
    <row r="169" spans="1:12" x14ac:dyDescent="0.2">
      <c r="A169" s="305">
        <v>164</v>
      </c>
      <c r="B169" s="469" t="s">
        <v>565</v>
      </c>
      <c r="C169" s="476" t="s">
        <v>3105</v>
      </c>
      <c r="D169" s="464"/>
      <c r="E169" s="465" t="s">
        <v>3106</v>
      </c>
      <c r="F169" s="466" t="s">
        <v>2946</v>
      </c>
      <c r="G169" s="464"/>
      <c r="H169" s="477">
        <v>44952</v>
      </c>
      <c r="I169" s="473">
        <f t="shared" si="6"/>
        <v>2587748.6486486485</v>
      </c>
      <c r="J169" s="473">
        <f t="shared" si="7"/>
        <v>284652.35135135136</v>
      </c>
      <c r="K169" s="474">
        <f>2230048+642353</f>
        <v>2872401</v>
      </c>
      <c r="L169" s="475"/>
    </row>
    <row r="170" spans="1:12" x14ac:dyDescent="0.2">
      <c r="A170" s="305">
        <v>165</v>
      </c>
      <c r="B170" s="485" t="s">
        <v>566</v>
      </c>
      <c r="C170" s="476" t="s">
        <v>3107</v>
      </c>
      <c r="D170" s="464"/>
      <c r="E170" s="465" t="s">
        <v>3003</v>
      </c>
      <c r="F170" s="466" t="s">
        <v>3108</v>
      </c>
      <c r="G170" s="464"/>
      <c r="H170" s="477">
        <v>44953</v>
      </c>
      <c r="I170" s="488">
        <f t="shared" si="6"/>
        <v>4774774.774774774</v>
      </c>
      <c r="J170" s="488">
        <f t="shared" si="7"/>
        <v>525225.22522522509</v>
      </c>
      <c r="K170" s="474">
        <v>5300000</v>
      </c>
      <c r="L170" s="475"/>
    </row>
    <row r="171" spans="1:12" x14ac:dyDescent="0.2">
      <c r="A171" s="305">
        <v>166</v>
      </c>
      <c r="B171" s="469" t="s">
        <v>567</v>
      </c>
      <c r="C171" s="480" t="s">
        <v>3109</v>
      </c>
      <c r="D171" s="481"/>
      <c r="E171" s="482" t="s">
        <v>3110</v>
      </c>
      <c r="F171" s="483" t="s">
        <v>3047</v>
      </c>
      <c r="G171" s="513"/>
      <c r="H171" s="484">
        <v>44953</v>
      </c>
      <c r="I171" s="473">
        <f t="shared" si="6"/>
        <v>477027.02702702698</v>
      </c>
      <c r="J171" s="473">
        <f t="shared" si="7"/>
        <v>52472.972972972966</v>
      </c>
      <c r="K171" s="474">
        <v>529500</v>
      </c>
      <c r="L171" s="475"/>
    </row>
    <row r="172" spans="1:12" x14ac:dyDescent="0.2">
      <c r="A172" s="305">
        <v>167</v>
      </c>
      <c r="B172" s="485" t="s">
        <v>568</v>
      </c>
      <c r="C172" s="476" t="s">
        <v>3111</v>
      </c>
      <c r="D172" s="464"/>
      <c r="E172" s="465" t="s">
        <v>3112</v>
      </c>
      <c r="F172" s="466" t="s">
        <v>2955</v>
      </c>
      <c r="G172" s="464"/>
      <c r="H172" s="477">
        <v>44954</v>
      </c>
      <c r="I172" s="488">
        <f t="shared" si="6"/>
        <v>2915935.1351351347</v>
      </c>
      <c r="J172" s="488">
        <f t="shared" si="7"/>
        <v>320752.86486486479</v>
      </c>
      <c r="K172" s="474">
        <v>3236688</v>
      </c>
      <c r="L172" s="475"/>
    </row>
    <row r="173" spans="1:12" x14ac:dyDescent="0.2">
      <c r="A173" s="305">
        <v>168</v>
      </c>
      <c r="B173" s="469" t="s">
        <v>569</v>
      </c>
      <c r="C173" s="476" t="s">
        <v>3158</v>
      </c>
      <c r="D173" s="464"/>
      <c r="E173" s="465" t="s">
        <v>2907</v>
      </c>
      <c r="F173" s="466" t="s">
        <v>2908</v>
      </c>
      <c r="G173" s="464"/>
      <c r="H173" s="477">
        <v>44954</v>
      </c>
      <c r="I173" s="473">
        <f t="shared" si="6"/>
        <v>8665428.8288288284</v>
      </c>
      <c r="J173" s="473">
        <f t="shared" si="7"/>
        <v>953197.17117117113</v>
      </c>
      <c r="K173" s="474">
        <f>3796884+5821742</f>
        <v>9618626</v>
      </c>
      <c r="L173" s="475"/>
    </row>
    <row r="174" spans="1:12" x14ac:dyDescent="0.2">
      <c r="A174" s="305">
        <v>169</v>
      </c>
      <c r="B174" s="485" t="s">
        <v>570</v>
      </c>
      <c r="C174" s="476" t="s">
        <v>3121</v>
      </c>
      <c r="D174" s="464"/>
      <c r="E174" s="465" t="s">
        <v>3122</v>
      </c>
      <c r="F174" s="466" t="s">
        <v>2946</v>
      </c>
      <c r="G174" s="464"/>
      <c r="H174" s="477">
        <v>44954</v>
      </c>
      <c r="I174" s="488">
        <f t="shared" si="6"/>
        <v>813867.56756756746</v>
      </c>
      <c r="J174" s="488">
        <f t="shared" si="7"/>
        <v>89525.432432432426</v>
      </c>
      <c r="K174" s="474">
        <v>903393</v>
      </c>
      <c r="L174" s="475"/>
    </row>
    <row r="175" spans="1:12" x14ac:dyDescent="0.2">
      <c r="A175" s="305">
        <v>170</v>
      </c>
      <c r="B175" s="469" t="s">
        <v>571</v>
      </c>
      <c r="C175" s="476" t="s">
        <v>3124</v>
      </c>
      <c r="D175" s="464"/>
      <c r="E175" s="465" t="s">
        <v>2937</v>
      </c>
      <c r="F175" s="466" t="s">
        <v>2823</v>
      </c>
      <c r="G175" s="464"/>
      <c r="H175" s="477">
        <v>44954</v>
      </c>
      <c r="I175" s="473">
        <f t="shared" si="6"/>
        <v>3011448.6486486485</v>
      </c>
      <c r="J175" s="473">
        <f t="shared" si="7"/>
        <v>331259.35135135136</v>
      </c>
      <c r="K175" s="474">
        <v>3342708</v>
      </c>
      <c r="L175" s="475"/>
    </row>
    <row r="176" spans="1:12" x14ac:dyDescent="0.2">
      <c r="A176" s="305">
        <v>171</v>
      </c>
      <c r="B176" s="485" t="s">
        <v>572</v>
      </c>
      <c r="C176" s="476" t="s">
        <v>3126</v>
      </c>
      <c r="D176" s="464"/>
      <c r="E176" s="465" t="s">
        <v>2883</v>
      </c>
      <c r="F176" s="466" t="s">
        <v>2884</v>
      </c>
      <c r="G176" s="464"/>
      <c r="H176" s="477">
        <v>44956</v>
      </c>
      <c r="I176" s="488">
        <f t="shared" si="6"/>
        <v>1009009.0090090089</v>
      </c>
      <c r="J176" s="488">
        <f t="shared" si="7"/>
        <v>110990.99099099098</v>
      </c>
      <c r="K176" s="474">
        <v>1120000</v>
      </c>
      <c r="L176" s="475" t="s">
        <v>3127</v>
      </c>
    </row>
    <row r="177" spans="1:12" x14ac:dyDescent="0.2">
      <c r="A177" s="305">
        <v>172</v>
      </c>
      <c r="B177" s="469" t="s">
        <v>573</v>
      </c>
      <c r="C177" s="476" t="s">
        <v>3128</v>
      </c>
      <c r="D177" s="464"/>
      <c r="E177" s="465" t="s">
        <v>3129</v>
      </c>
      <c r="F177" s="466" t="s">
        <v>3108</v>
      </c>
      <c r="G177" s="464"/>
      <c r="H177" s="477">
        <v>44956</v>
      </c>
      <c r="I177" s="473">
        <f t="shared" si="6"/>
        <v>2461013.5135135134</v>
      </c>
      <c r="J177" s="473">
        <f t="shared" si="7"/>
        <v>270711.48648648645</v>
      </c>
      <c r="K177" s="474">
        <v>2731725</v>
      </c>
      <c r="L177" s="475"/>
    </row>
    <row r="178" spans="1:12" x14ac:dyDescent="0.2">
      <c r="A178" s="305">
        <v>173</v>
      </c>
      <c r="B178" s="485" t="s">
        <v>574</v>
      </c>
      <c r="C178" s="476" t="s">
        <v>3143</v>
      </c>
      <c r="D178" s="464"/>
      <c r="E178" s="465" t="s">
        <v>3130</v>
      </c>
      <c r="F178" s="466" t="s">
        <v>2873</v>
      </c>
      <c r="G178" s="464"/>
      <c r="H178" s="477">
        <v>44956</v>
      </c>
      <c r="I178" s="488">
        <f t="shared" si="6"/>
        <v>4036832.4324324322</v>
      </c>
      <c r="J178" s="488">
        <f t="shared" si="7"/>
        <v>444051.56756756752</v>
      </c>
      <c r="K178" s="474">
        <f>2483604+1997280</f>
        <v>4480884</v>
      </c>
      <c r="L178" s="475"/>
    </row>
    <row r="179" spans="1:12" x14ac:dyDescent="0.2">
      <c r="A179" s="305">
        <v>174</v>
      </c>
      <c r="B179" s="469" t="s">
        <v>575</v>
      </c>
      <c r="C179" s="476" t="s">
        <v>3132</v>
      </c>
      <c r="D179" s="464"/>
      <c r="E179" s="465" t="s">
        <v>3133</v>
      </c>
      <c r="F179" s="466" t="s">
        <v>2935</v>
      </c>
      <c r="G179" s="464"/>
      <c r="H179" s="477">
        <v>44956</v>
      </c>
      <c r="I179" s="473">
        <f t="shared" si="6"/>
        <v>4103999.9999999995</v>
      </c>
      <c r="J179" s="473">
        <f t="shared" si="7"/>
        <v>451439.99999999994</v>
      </c>
      <c r="K179" s="474">
        <v>4555440</v>
      </c>
      <c r="L179" s="475"/>
    </row>
    <row r="180" spans="1:12" x14ac:dyDescent="0.2">
      <c r="A180" s="305">
        <v>175</v>
      </c>
      <c r="B180" s="485" t="s">
        <v>576</v>
      </c>
      <c r="C180" s="476" t="s">
        <v>3136</v>
      </c>
      <c r="D180" s="464"/>
      <c r="E180" s="465" t="s">
        <v>2934</v>
      </c>
      <c r="F180" s="466" t="s">
        <v>2935</v>
      </c>
      <c r="G180" s="464"/>
      <c r="H180" s="477">
        <v>44956</v>
      </c>
      <c r="I180" s="488">
        <f t="shared" si="6"/>
        <v>958986.48648648639</v>
      </c>
      <c r="J180" s="488">
        <f t="shared" si="7"/>
        <v>105488.51351351351</v>
      </c>
      <c r="K180" s="474">
        <v>1064475</v>
      </c>
      <c r="L180" s="475"/>
    </row>
    <row r="181" spans="1:12" x14ac:dyDescent="0.2">
      <c r="A181" s="305">
        <v>176</v>
      </c>
      <c r="B181" s="469" t="s">
        <v>577</v>
      </c>
      <c r="C181" s="476" t="s">
        <v>3137</v>
      </c>
      <c r="D181" s="464"/>
      <c r="E181" s="465" t="s">
        <v>3138</v>
      </c>
      <c r="F181" s="466" t="s">
        <v>3077</v>
      </c>
      <c r="G181" s="464"/>
      <c r="H181" s="477">
        <v>44956</v>
      </c>
      <c r="I181" s="473">
        <f t="shared" si="6"/>
        <v>8355855.8558558552</v>
      </c>
      <c r="J181" s="473">
        <f t="shared" si="7"/>
        <v>919144.14414414403</v>
      </c>
      <c r="K181" s="474">
        <v>9275000</v>
      </c>
      <c r="L181" s="475"/>
    </row>
    <row r="182" spans="1:12" x14ac:dyDescent="0.2">
      <c r="A182" s="305">
        <v>177</v>
      </c>
      <c r="B182" s="485" t="s">
        <v>578</v>
      </c>
      <c r="C182" s="480" t="s">
        <v>3140</v>
      </c>
      <c r="D182" s="481"/>
      <c r="E182" s="482" t="s">
        <v>3141</v>
      </c>
      <c r="F182" s="483" t="s">
        <v>2873</v>
      </c>
      <c r="G182" s="513"/>
      <c r="H182" s="484">
        <v>44957</v>
      </c>
      <c r="I182" s="488">
        <f t="shared" si="6"/>
        <v>184933.33333333331</v>
      </c>
      <c r="J182" s="488">
        <f t="shared" si="7"/>
        <v>20342.666666666664</v>
      </c>
      <c r="K182" s="474">
        <v>205276</v>
      </c>
      <c r="L182" s="475" t="s">
        <v>3142</v>
      </c>
    </row>
    <row r="183" spans="1:12" x14ac:dyDescent="0.2">
      <c r="A183" s="305">
        <v>178</v>
      </c>
      <c r="B183" s="469" t="s">
        <v>579</v>
      </c>
      <c r="C183" s="476" t="s">
        <v>3144</v>
      </c>
      <c r="D183" s="464"/>
      <c r="E183" s="465" t="s">
        <v>3141</v>
      </c>
      <c r="F183" s="466" t="s">
        <v>2873</v>
      </c>
      <c r="G183" s="464"/>
      <c r="H183" s="477">
        <v>44957</v>
      </c>
      <c r="I183" s="473">
        <f t="shared" si="6"/>
        <v>497286.48648648645</v>
      </c>
      <c r="J183" s="473">
        <f t="shared" si="7"/>
        <v>54701.513513513513</v>
      </c>
      <c r="K183" s="474">
        <v>551988</v>
      </c>
      <c r="L183" s="475" t="s">
        <v>3145</v>
      </c>
    </row>
    <row r="184" spans="1:12" x14ac:dyDescent="0.2">
      <c r="A184" s="305">
        <v>179</v>
      </c>
      <c r="B184" s="485" t="s">
        <v>580</v>
      </c>
      <c r="C184" s="476" t="s">
        <v>3148</v>
      </c>
      <c r="D184" s="464"/>
      <c r="E184" s="465" t="s">
        <v>3146</v>
      </c>
      <c r="F184" s="466" t="s">
        <v>3147</v>
      </c>
      <c r="G184" s="464"/>
      <c r="H184" s="477">
        <v>44957</v>
      </c>
      <c r="I184" s="488">
        <f t="shared" si="6"/>
        <v>3820232.4324324322</v>
      </c>
      <c r="J184" s="488">
        <f t="shared" si="7"/>
        <v>420225.56756756752</v>
      </c>
      <c r="K184" s="474">
        <f>3665898+574560</f>
        <v>4240458</v>
      </c>
      <c r="L184" s="475"/>
    </row>
    <row r="185" spans="1:12" x14ac:dyDescent="0.2">
      <c r="A185" s="305">
        <v>180</v>
      </c>
      <c r="B185" s="469" t="s">
        <v>581</v>
      </c>
      <c r="C185" s="476" t="s">
        <v>3150</v>
      </c>
      <c r="D185" s="464"/>
      <c r="E185" s="465" t="s">
        <v>3151</v>
      </c>
      <c r="F185" s="466" t="s">
        <v>2994</v>
      </c>
      <c r="G185" s="464"/>
      <c r="H185" s="477">
        <v>44957</v>
      </c>
      <c r="I185" s="473">
        <f t="shared" si="6"/>
        <v>8337405.405405405</v>
      </c>
      <c r="J185" s="473">
        <f t="shared" si="7"/>
        <v>917114.59459459456</v>
      </c>
      <c r="K185" s="474">
        <v>9254520</v>
      </c>
      <c r="L185" s="475"/>
    </row>
    <row r="186" spans="1:12" x14ac:dyDescent="0.2">
      <c r="A186" s="305">
        <v>181</v>
      </c>
      <c r="B186" s="485" t="s">
        <v>582</v>
      </c>
      <c r="C186" s="476" t="s">
        <v>3152</v>
      </c>
      <c r="D186" s="464"/>
      <c r="E186" s="465" t="s">
        <v>3030</v>
      </c>
      <c r="F186" s="466" t="s">
        <v>2892</v>
      </c>
      <c r="G186" s="464"/>
      <c r="H186" s="477">
        <v>44957</v>
      </c>
      <c r="I186" s="488">
        <f t="shared" si="6"/>
        <v>1210402.7027027025</v>
      </c>
      <c r="J186" s="488">
        <f t="shared" si="7"/>
        <v>133144.29729729728</v>
      </c>
      <c r="K186" s="474">
        <v>1343547</v>
      </c>
      <c r="L186" s="475"/>
    </row>
    <row r="187" spans="1:12" x14ac:dyDescent="0.2">
      <c r="A187" s="305">
        <v>182</v>
      </c>
      <c r="B187" s="469" t="s">
        <v>583</v>
      </c>
      <c r="C187" s="480" t="s">
        <v>3153</v>
      </c>
      <c r="D187" s="481"/>
      <c r="E187" s="482" t="s">
        <v>6909</v>
      </c>
      <c r="F187" s="483" t="s">
        <v>2886</v>
      </c>
      <c r="G187" s="513"/>
      <c r="H187" s="484">
        <v>44957</v>
      </c>
      <c r="I187" s="473">
        <f t="shared" si="6"/>
        <v>519932.43243243237</v>
      </c>
      <c r="J187" s="473">
        <f t="shared" si="7"/>
        <v>57192.567567567559</v>
      </c>
      <c r="K187" s="474">
        <v>577125</v>
      </c>
      <c r="L187" s="475"/>
    </row>
    <row r="188" spans="1:12" x14ac:dyDescent="0.2">
      <c r="A188" s="305">
        <v>183</v>
      </c>
      <c r="B188" s="485" t="s">
        <v>584</v>
      </c>
      <c r="C188" s="476" t="s">
        <v>3155</v>
      </c>
      <c r="D188" s="464"/>
      <c r="E188" s="465" t="s">
        <v>3156</v>
      </c>
      <c r="F188" s="466" t="s">
        <v>2912</v>
      </c>
      <c r="G188" s="464"/>
      <c r="H188" s="477">
        <v>44956</v>
      </c>
      <c r="I188" s="488">
        <f t="shared" si="6"/>
        <v>214639.63963963962</v>
      </c>
      <c r="J188" s="488">
        <f t="shared" si="7"/>
        <v>23610.360360360359</v>
      </c>
      <c r="K188" s="474">
        <v>238250</v>
      </c>
      <c r="L188" s="475"/>
    </row>
    <row r="189" spans="1:12" x14ac:dyDescent="0.2">
      <c r="A189" s="305">
        <v>184</v>
      </c>
      <c r="B189" s="469" t="s">
        <v>585</v>
      </c>
      <c r="C189" s="476" t="s">
        <v>3159</v>
      </c>
      <c r="D189" s="464"/>
      <c r="E189" s="465" t="s">
        <v>2914</v>
      </c>
      <c r="F189" s="466" t="s">
        <v>2915</v>
      </c>
      <c r="G189" s="464"/>
      <c r="H189" s="477">
        <v>44957</v>
      </c>
      <c r="I189" s="473">
        <f t="shared" si="6"/>
        <v>1192378.3783783782</v>
      </c>
      <c r="J189" s="473">
        <f t="shared" si="7"/>
        <v>131161.6216216216</v>
      </c>
      <c r="K189" s="474">
        <v>1323540</v>
      </c>
      <c r="L189" s="475"/>
    </row>
    <row r="190" spans="1:12" x14ac:dyDescent="0.2">
      <c r="A190" s="305">
        <v>185</v>
      </c>
      <c r="B190" s="485" t="s">
        <v>586</v>
      </c>
      <c r="C190" s="476" t="s">
        <v>3161</v>
      </c>
      <c r="D190" s="464"/>
      <c r="E190" s="465" t="s">
        <v>2993</v>
      </c>
      <c r="F190" s="466" t="s">
        <v>2994</v>
      </c>
      <c r="G190" s="464"/>
      <c r="H190" s="477">
        <v>44957</v>
      </c>
      <c r="I190" s="488">
        <f t="shared" si="6"/>
        <v>4516094.5945945941</v>
      </c>
      <c r="J190" s="488">
        <f t="shared" si="7"/>
        <v>496770.40540540533</v>
      </c>
      <c r="K190" s="474">
        <v>5012865</v>
      </c>
      <c r="L190" s="475"/>
    </row>
    <row r="191" spans="1:12" x14ac:dyDescent="0.2">
      <c r="A191" s="305">
        <v>186</v>
      </c>
      <c r="B191" s="469" t="s">
        <v>587</v>
      </c>
      <c r="C191" s="476" t="s">
        <v>3163</v>
      </c>
      <c r="D191" s="464"/>
      <c r="E191" s="465" t="s">
        <v>3164</v>
      </c>
      <c r="F191" s="466" t="s">
        <v>2928</v>
      </c>
      <c r="G191" s="464"/>
      <c r="H191" s="477">
        <v>44957</v>
      </c>
      <c r="I191" s="473">
        <f t="shared" si="6"/>
        <v>4134144.1441441439</v>
      </c>
      <c r="J191" s="473">
        <f t="shared" si="7"/>
        <v>454755.85585585586</v>
      </c>
      <c r="K191" s="474">
        <v>4588900</v>
      </c>
      <c r="L191" s="475"/>
    </row>
    <row r="192" spans="1:12" x14ac:dyDescent="0.2">
      <c r="A192" s="305">
        <v>187</v>
      </c>
      <c r="B192" s="485" t="s">
        <v>588</v>
      </c>
      <c r="C192" s="476" t="s">
        <v>3167</v>
      </c>
      <c r="D192" s="464"/>
      <c r="E192" s="465" t="s">
        <v>3168</v>
      </c>
      <c r="F192" s="466" t="s">
        <v>2873</v>
      </c>
      <c r="G192" s="464"/>
      <c r="H192" s="477">
        <v>44957</v>
      </c>
      <c r="I192" s="488">
        <f t="shared" si="6"/>
        <v>53610.810810810806</v>
      </c>
      <c r="J192" s="488">
        <f t="shared" si="7"/>
        <v>5897.1891891891892</v>
      </c>
      <c r="K192" s="474">
        <v>59508</v>
      </c>
      <c r="L192" s="475"/>
    </row>
    <row r="193" spans="1:12" ht="18" x14ac:dyDescent="0.25">
      <c r="B193" s="490" t="s">
        <v>230</v>
      </c>
      <c r="C193" s="491"/>
      <c r="D193" s="492"/>
      <c r="E193" s="493"/>
      <c r="F193" s="494"/>
      <c r="G193" s="514"/>
      <c r="H193" s="495"/>
      <c r="I193" s="496">
        <f>SUM(I6:I192)</f>
        <v>1647771717.1171181</v>
      </c>
      <c r="J193" s="496">
        <f>SUM(J6:J192)</f>
        <v>181254888.88288265</v>
      </c>
      <c r="K193" s="709">
        <f>SUM(K6:K192)</f>
        <v>1829026606</v>
      </c>
      <c r="L193" s="497"/>
    </row>
    <row r="194" spans="1:12" s="352" customFormat="1" ht="20.25" x14ac:dyDescent="0.3">
      <c r="A194" s="305"/>
      <c r="B194" s="498" t="s">
        <v>99</v>
      </c>
      <c r="C194" s="486"/>
      <c r="D194" s="487"/>
      <c r="E194" s="487"/>
      <c r="F194" s="487"/>
      <c r="G194" s="487"/>
      <c r="H194" s="499"/>
      <c r="I194" s="500"/>
      <c r="J194" s="500"/>
      <c r="K194" s="501"/>
      <c r="L194" s="502"/>
    </row>
    <row r="195" spans="1:12" s="520" customFormat="1" x14ac:dyDescent="0.2">
      <c r="A195" s="517">
        <v>1</v>
      </c>
      <c r="B195" s="485" t="s">
        <v>589</v>
      </c>
      <c r="C195" s="486" t="s">
        <v>3304</v>
      </c>
      <c r="D195" s="487" t="s">
        <v>2753</v>
      </c>
      <c r="E195" s="503" t="s">
        <v>2754</v>
      </c>
      <c r="F195" s="504" t="s">
        <v>2755</v>
      </c>
      <c r="G195" s="518" t="s">
        <v>3261</v>
      </c>
      <c r="H195" s="519">
        <v>44959</v>
      </c>
      <c r="I195" s="488">
        <f>K195/1.11</f>
        <v>1557535.1351351349</v>
      </c>
      <c r="J195" s="488">
        <f>I195*11%</f>
        <v>171328.86486486485</v>
      </c>
      <c r="K195" s="489">
        <v>1728864</v>
      </c>
      <c r="L195" s="547"/>
    </row>
    <row r="196" spans="1:12" s="520" customFormat="1" x14ac:dyDescent="0.2">
      <c r="A196" s="517">
        <v>2</v>
      </c>
      <c r="B196" s="469" t="s">
        <v>590</v>
      </c>
      <c r="C196" s="470" t="s">
        <v>3305</v>
      </c>
      <c r="D196" s="487" t="s">
        <v>2790</v>
      </c>
      <c r="E196" s="503" t="s">
        <v>2791</v>
      </c>
      <c r="F196" s="504" t="s">
        <v>2792</v>
      </c>
      <c r="G196" s="518" t="s">
        <v>3262</v>
      </c>
      <c r="H196" s="519">
        <v>44960</v>
      </c>
      <c r="I196" s="473">
        <f>K196/1.11</f>
        <v>3021621.6216216213</v>
      </c>
      <c r="J196" s="473">
        <f>I196*11%</f>
        <v>332378.37837837834</v>
      </c>
      <c r="K196" s="474">
        <v>3354000</v>
      </c>
      <c r="L196" s="475"/>
    </row>
    <row r="197" spans="1:12" s="520" customFormat="1" x14ac:dyDescent="0.2">
      <c r="A197" s="517">
        <v>3</v>
      </c>
      <c r="B197" s="485" t="s">
        <v>591</v>
      </c>
      <c r="C197" s="476" t="s">
        <v>3306</v>
      </c>
      <c r="D197" s="464" t="s">
        <v>2758</v>
      </c>
      <c r="E197" s="708" t="s">
        <v>2759</v>
      </c>
      <c r="F197" s="466" t="s">
        <v>2755</v>
      </c>
      <c r="G197" s="518" t="s">
        <v>3263</v>
      </c>
      <c r="H197" s="519">
        <v>44960</v>
      </c>
      <c r="I197" s="488">
        <f t="shared" ref="I197:I260" si="8">K197/1.11</f>
        <v>26987999.999999996</v>
      </c>
      <c r="J197" s="488">
        <f t="shared" ref="J197:J260" si="9">I197*11%</f>
        <v>2968679.9999999995</v>
      </c>
      <c r="K197" s="474">
        <v>29956680</v>
      </c>
      <c r="L197" s="475"/>
    </row>
    <row r="198" spans="1:12" s="520" customFormat="1" x14ac:dyDescent="0.2">
      <c r="A198" s="517">
        <v>4</v>
      </c>
      <c r="B198" s="469" t="s">
        <v>592</v>
      </c>
      <c r="C198" s="476" t="s">
        <v>3307</v>
      </c>
      <c r="D198" s="487" t="s">
        <v>2753</v>
      </c>
      <c r="E198" s="503" t="s">
        <v>2754</v>
      </c>
      <c r="F198" s="504" t="s">
        <v>2755</v>
      </c>
      <c r="G198" s="518" t="s">
        <v>3264</v>
      </c>
      <c r="H198" s="519">
        <v>44961</v>
      </c>
      <c r="I198" s="473">
        <f t="shared" si="8"/>
        <v>13675772.972972972</v>
      </c>
      <c r="J198" s="473">
        <f t="shared" si="9"/>
        <v>1504335.027027027</v>
      </c>
      <c r="K198" s="474">
        <v>15180108</v>
      </c>
      <c r="L198" s="475"/>
    </row>
    <row r="199" spans="1:12" s="520" customFormat="1" x14ac:dyDescent="0.2">
      <c r="A199" s="517">
        <v>5</v>
      </c>
      <c r="B199" s="485" t="s">
        <v>593</v>
      </c>
      <c r="C199" s="476" t="s">
        <v>3308</v>
      </c>
      <c r="D199" s="464" t="s">
        <v>2758</v>
      </c>
      <c r="E199" s="708" t="s">
        <v>2759</v>
      </c>
      <c r="F199" s="466" t="s">
        <v>2755</v>
      </c>
      <c r="G199" s="518" t="s">
        <v>3265</v>
      </c>
      <c r="H199" s="519">
        <v>44961</v>
      </c>
      <c r="I199" s="488">
        <f t="shared" si="8"/>
        <v>4948735.1351351347</v>
      </c>
      <c r="J199" s="488">
        <f t="shared" si="9"/>
        <v>544360.86486486485</v>
      </c>
      <c r="K199" s="474">
        <v>5493096</v>
      </c>
      <c r="L199" s="475"/>
    </row>
    <row r="200" spans="1:12" s="520" customFormat="1" x14ac:dyDescent="0.2">
      <c r="A200" s="517">
        <v>6</v>
      </c>
      <c r="B200" s="469" t="s">
        <v>594</v>
      </c>
      <c r="C200" s="476" t="s">
        <v>3309</v>
      </c>
      <c r="D200" s="464" t="s">
        <v>2783</v>
      </c>
      <c r="E200" s="465" t="s">
        <v>2784</v>
      </c>
      <c r="F200" s="466" t="s">
        <v>2785</v>
      </c>
      <c r="G200" s="518" t="s">
        <v>3266</v>
      </c>
      <c r="H200" s="519">
        <v>44963</v>
      </c>
      <c r="I200" s="473">
        <f t="shared" si="8"/>
        <v>8865405.405405404</v>
      </c>
      <c r="J200" s="473">
        <f t="shared" si="9"/>
        <v>975194.59459459444</v>
      </c>
      <c r="K200" s="474">
        <v>9840600</v>
      </c>
      <c r="L200" s="475"/>
    </row>
    <row r="201" spans="1:12" s="520" customFormat="1" x14ac:dyDescent="0.2">
      <c r="A201" s="517">
        <v>7</v>
      </c>
      <c r="B201" s="485" t="s">
        <v>595</v>
      </c>
      <c r="C201" s="476" t="s">
        <v>3310</v>
      </c>
      <c r="D201" s="725" t="s">
        <v>3300</v>
      </c>
      <c r="E201" s="708" t="s">
        <v>3301</v>
      </c>
      <c r="F201" s="726" t="s">
        <v>3001</v>
      </c>
      <c r="G201" s="518" t="s">
        <v>3267</v>
      </c>
      <c r="H201" s="519">
        <v>44961</v>
      </c>
      <c r="I201" s="488">
        <f t="shared" si="8"/>
        <v>3154410.8108108104</v>
      </c>
      <c r="J201" s="488">
        <f t="shared" si="9"/>
        <v>346985.18918918917</v>
      </c>
      <c r="K201" s="474">
        <v>3501396</v>
      </c>
      <c r="L201" s="475"/>
    </row>
    <row r="202" spans="1:12" s="520" customFormat="1" x14ac:dyDescent="0.2">
      <c r="A202" s="517">
        <v>8</v>
      </c>
      <c r="B202" s="469" t="s">
        <v>596</v>
      </c>
      <c r="C202" s="476" t="s">
        <v>3311</v>
      </c>
      <c r="D202" s="464" t="s">
        <v>2779</v>
      </c>
      <c r="E202" s="471" t="s">
        <v>2780</v>
      </c>
      <c r="F202" s="471" t="s">
        <v>2755</v>
      </c>
      <c r="G202" s="518" t="s">
        <v>3268</v>
      </c>
      <c r="H202" s="519">
        <v>44963</v>
      </c>
      <c r="I202" s="473">
        <f t="shared" si="8"/>
        <v>2863783.7837837837</v>
      </c>
      <c r="J202" s="473">
        <f t="shared" si="9"/>
        <v>315016.21621621621</v>
      </c>
      <c r="K202" s="474">
        <v>3178800</v>
      </c>
      <c r="L202" s="475"/>
    </row>
    <row r="203" spans="1:12" s="520" customFormat="1" x14ac:dyDescent="0.2">
      <c r="A203" s="517">
        <v>9</v>
      </c>
      <c r="B203" s="485" t="s">
        <v>597</v>
      </c>
      <c r="C203" s="476" t="s">
        <v>3312</v>
      </c>
      <c r="D203" s="487" t="s">
        <v>2753</v>
      </c>
      <c r="E203" s="503" t="s">
        <v>2754</v>
      </c>
      <c r="F203" s="504" t="s">
        <v>2755</v>
      </c>
      <c r="G203" s="518" t="s">
        <v>3269</v>
      </c>
      <c r="H203" s="519">
        <v>44963</v>
      </c>
      <c r="I203" s="488">
        <f t="shared" si="8"/>
        <v>4401729.7297297297</v>
      </c>
      <c r="J203" s="488">
        <f t="shared" si="9"/>
        <v>484190.2702702703</v>
      </c>
      <c r="K203" s="474">
        <v>4885920</v>
      </c>
      <c r="L203" s="475"/>
    </row>
    <row r="204" spans="1:12" s="520" customFormat="1" ht="14.25" customHeight="1" x14ac:dyDescent="0.2">
      <c r="A204" s="517">
        <v>10</v>
      </c>
      <c r="B204" s="469" t="s">
        <v>598</v>
      </c>
      <c r="C204" s="476" t="s">
        <v>3313</v>
      </c>
      <c r="D204" s="511" t="s">
        <v>2773</v>
      </c>
      <c r="E204" s="465" t="s">
        <v>2774</v>
      </c>
      <c r="F204" s="510" t="s">
        <v>2755</v>
      </c>
      <c r="G204" s="518" t="s">
        <v>3270</v>
      </c>
      <c r="H204" s="519">
        <v>44963</v>
      </c>
      <c r="I204" s="473">
        <f t="shared" si="8"/>
        <v>4376432.4324324317</v>
      </c>
      <c r="J204" s="473">
        <f t="shared" si="9"/>
        <v>481407.56756756752</v>
      </c>
      <c r="K204" s="474">
        <v>4857840</v>
      </c>
      <c r="L204" s="475"/>
    </row>
    <row r="205" spans="1:12" s="520" customFormat="1" ht="14.25" customHeight="1" x14ac:dyDescent="0.2">
      <c r="A205" s="517">
        <v>11</v>
      </c>
      <c r="B205" s="485" t="s">
        <v>599</v>
      </c>
      <c r="C205" s="476" t="s">
        <v>3314</v>
      </c>
      <c r="D205" s="464" t="s">
        <v>2758</v>
      </c>
      <c r="E205" s="708" t="s">
        <v>2759</v>
      </c>
      <c r="F205" s="466" t="s">
        <v>2755</v>
      </c>
      <c r="G205" s="518" t="s">
        <v>3271</v>
      </c>
      <c r="H205" s="519">
        <v>44963</v>
      </c>
      <c r="I205" s="488">
        <f t="shared" si="8"/>
        <v>21882162.162162159</v>
      </c>
      <c r="J205" s="488">
        <f t="shared" si="9"/>
        <v>2407037.8378378376</v>
      </c>
      <c r="K205" s="474">
        <v>24289200</v>
      </c>
      <c r="L205" s="475"/>
    </row>
    <row r="206" spans="1:12" s="520" customFormat="1" x14ac:dyDescent="0.2">
      <c r="A206" s="517">
        <v>12</v>
      </c>
      <c r="B206" s="469" t="s">
        <v>600</v>
      </c>
      <c r="C206" s="476" t="s">
        <v>3315</v>
      </c>
      <c r="D206" s="464" t="s">
        <v>2821</v>
      </c>
      <c r="E206" s="471" t="s">
        <v>2822</v>
      </c>
      <c r="F206" s="471" t="s">
        <v>2823</v>
      </c>
      <c r="G206" s="518" t="s">
        <v>3272</v>
      </c>
      <c r="H206" s="519">
        <v>44964</v>
      </c>
      <c r="I206" s="473">
        <f t="shared" si="8"/>
        <v>1203243.2432432431</v>
      </c>
      <c r="J206" s="473">
        <f t="shared" si="9"/>
        <v>132356.75675675675</v>
      </c>
      <c r="K206" s="474">
        <v>1335600</v>
      </c>
      <c r="L206" s="475"/>
    </row>
    <row r="207" spans="1:12" s="520" customFormat="1" ht="14.25" customHeight="1" x14ac:dyDescent="0.2">
      <c r="A207" s="517">
        <v>13</v>
      </c>
      <c r="B207" s="485" t="s">
        <v>601</v>
      </c>
      <c r="C207" s="476" t="s">
        <v>3316</v>
      </c>
      <c r="D207" s="464" t="s">
        <v>2758</v>
      </c>
      <c r="E207" s="708" t="s">
        <v>2759</v>
      </c>
      <c r="F207" s="466" t="s">
        <v>2755</v>
      </c>
      <c r="G207" s="518" t="s">
        <v>3273</v>
      </c>
      <c r="H207" s="519">
        <v>44964</v>
      </c>
      <c r="I207" s="488">
        <f t="shared" si="8"/>
        <v>1597522.5225225224</v>
      </c>
      <c r="J207" s="488">
        <f t="shared" si="9"/>
        <v>175727.47747747746</v>
      </c>
      <c r="K207" s="474">
        <v>1773250</v>
      </c>
      <c r="L207" s="475"/>
    </row>
    <row r="208" spans="1:12" s="520" customFormat="1" ht="14.25" customHeight="1" x14ac:dyDescent="0.2">
      <c r="A208" s="517">
        <v>14</v>
      </c>
      <c r="B208" s="469" t="s">
        <v>602</v>
      </c>
      <c r="C208" s="476" t="s">
        <v>3317</v>
      </c>
      <c r="D208" s="487" t="s">
        <v>2753</v>
      </c>
      <c r="E208" s="503" t="s">
        <v>2754</v>
      </c>
      <c r="F208" s="504" t="s">
        <v>2755</v>
      </c>
      <c r="G208" s="518" t="s">
        <v>3274</v>
      </c>
      <c r="H208" s="519">
        <v>44964</v>
      </c>
      <c r="I208" s="473">
        <f t="shared" si="8"/>
        <v>620756.75675675669</v>
      </c>
      <c r="J208" s="473">
        <f t="shared" si="9"/>
        <v>68283.24324324324</v>
      </c>
      <c r="K208" s="474">
        <v>689040</v>
      </c>
      <c r="L208" s="475"/>
    </row>
    <row r="209" spans="1:12" s="520" customFormat="1" x14ac:dyDescent="0.2">
      <c r="A209" s="517">
        <v>15</v>
      </c>
      <c r="B209" s="485" t="s">
        <v>603</v>
      </c>
      <c r="C209" s="476" t="s">
        <v>3318</v>
      </c>
      <c r="D209" s="464" t="s">
        <v>2783</v>
      </c>
      <c r="E209" s="465" t="s">
        <v>2784</v>
      </c>
      <c r="F209" s="466" t="s">
        <v>2785</v>
      </c>
      <c r="G209" s="518" t="s">
        <v>3275</v>
      </c>
      <c r="H209" s="519">
        <v>44965</v>
      </c>
      <c r="I209" s="488">
        <f t="shared" si="8"/>
        <v>43979234.234234229</v>
      </c>
      <c r="J209" s="488">
        <f t="shared" si="9"/>
        <v>4837715.7657657648</v>
      </c>
      <c r="K209" s="474">
        <v>48816950</v>
      </c>
      <c r="L209" s="475"/>
    </row>
    <row r="210" spans="1:12" s="520" customFormat="1" x14ac:dyDescent="0.2">
      <c r="A210" s="517">
        <v>16</v>
      </c>
      <c r="B210" s="469" t="s">
        <v>604</v>
      </c>
      <c r="C210" s="476" t="s">
        <v>3319</v>
      </c>
      <c r="D210" s="464" t="s">
        <v>2758</v>
      </c>
      <c r="E210" s="708" t="s">
        <v>2759</v>
      </c>
      <c r="F210" s="466" t="s">
        <v>2755</v>
      </c>
      <c r="G210" s="518" t="s">
        <v>3276</v>
      </c>
      <c r="H210" s="519">
        <v>44966</v>
      </c>
      <c r="I210" s="473">
        <f t="shared" si="8"/>
        <v>17136663.063063063</v>
      </c>
      <c r="J210" s="473">
        <f t="shared" si="9"/>
        <v>1885032.9369369368</v>
      </c>
      <c r="K210" s="474">
        <v>19021696</v>
      </c>
      <c r="L210" s="475"/>
    </row>
    <row r="211" spans="1:12" s="520" customFormat="1" x14ac:dyDescent="0.2">
      <c r="A211" s="517">
        <v>17</v>
      </c>
      <c r="B211" s="485" t="s">
        <v>605</v>
      </c>
      <c r="C211" s="476" t="s">
        <v>3320</v>
      </c>
      <c r="D211" s="487" t="s">
        <v>2790</v>
      </c>
      <c r="E211" s="503" t="s">
        <v>2791</v>
      </c>
      <c r="F211" s="504" t="s">
        <v>2792</v>
      </c>
      <c r="G211" s="518" t="s">
        <v>3277</v>
      </c>
      <c r="H211" s="519">
        <v>44966</v>
      </c>
      <c r="I211" s="488">
        <f t="shared" si="8"/>
        <v>2287135.1351351351</v>
      </c>
      <c r="J211" s="488">
        <f t="shared" si="9"/>
        <v>251584.86486486488</v>
      </c>
      <c r="K211" s="474">
        <v>2538720</v>
      </c>
      <c r="L211" s="475"/>
    </row>
    <row r="212" spans="1:12" s="520" customFormat="1" x14ac:dyDescent="0.2">
      <c r="A212" s="517">
        <v>18</v>
      </c>
      <c r="B212" s="469" t="s">
        <v>606</v>
      </c>
      <c r="C212" s="476" t="s">
        <v>3321</v>
      </c>
      <c r="D212" s="464" t="s">
        <v>2821</v>
      </c>
      <c r="E212" s="471" t="s">
        <v>2822</v>
      </c>
      <c r="F212" s="471" t="s">
        <v>2823</v>
      </c>
      <c r="G212" s="518" t="s">
        <v>3278</v>
      </c>
      <c r="H212" s="519">
        <v>44968</v>
      </c>
      <c r="I212" s="473">
        <f t="shared" si="8"/>
        <v>17708108.108108107</v>
      </c>
      <c r="J212" s="473">
        <f t="shared" si="9"/>
        <v>1947891.8918918918</v>
      </c>
      <c r="K212" s="474">
        <v>19656000</v>
      </c>
      <c r="L212" s="475"/>
    </row>
    <row r="213" spans="1:12" s="520" customFormat="1" x14ac:dyDescent="0.2">
      <c r="A213" s="517">
        <v>19</v>
      </c>
      <c r="B213" s="485" t="s">
        <v>607</v>
      </c>
      <c r="C213" s="476" t="s">
        <v>3322</v>
      </c>
      <c r="D213" s="464" t="s">
        <v>2806</v>
      </c>
      <c r="E213" s="465" t="s">
        <v>2807</v>
      </c>
      <c r="F213" s="466" t="s">
        <v>2808</v>
      </c>
      <c r="G213" s="518" t="s">
        <v>3279</v>
      </c>
      <c r="H213" s="477">
        <v>44968</v>
      </c>
      <c r="I213" s="488">
        <f t="shared" si="8"/>
        <v>450450.45045045041</v>
      </c>
      <c r="J213" s="488">
        <f t="shared" si="9"/>
        <v>49549.549549549549</v>
      </c>
      <c r="K213" s="474">
        <v>500000</v>
      </c>
      <c r="L213" s="475"/>
    </row>
    <row r="214" spans="1:12" s="520" customFormat="1" x14ac:dyDescent="0.2">
      <c r="A214" s="517">
        <v>20</v>
      </c>
      <c r="B214" s="469" t="s">
        <v>608</v>
      </c>
      <c r="C214" s="476" t="s">
        <v>3323</v>
      </c>
      <c r="D214" s="487" t="s">
        <v>2753</v>
      </c>
      <c r="E214" s="503" t="s">
        <v>2754</v>
      </c>
      <c r="F214" s="504" t="s">
        <v>2755</v>
      </c>
      <c r="G214" s="518" t="s">
        <v>3280</v>
      </c>
      <c r="H214" s="477">
        <v>44970</v>
      </c>
      <c r="I214" s="473">
        <f t="shared" si="8"/>
        <v>3241729.7297297292</v>
      </c>
      <c r="J214" s="473">
        <f t="shared" si="9"/>
        <v>356590.27027027024</v>
      </c>
      <c r="K214" s="474">
        <v>3598320</v>
      </c>
      <c r="L214" s="475"/>
    </row>
    <row r="215" spans="1:12" s="520" customFormat="1" x14ac:dyDescent="0.2">
      <c r="A215" s="517">
        <v>21</v>
      </c>
      <c r="B215" s="485" t="s">
        <v>609</v>
      </c>
      <c r="C215" s="476" t="s">
        <v>3324</v>
      </c>
      <c r="D215" s="464" t="s">
        <v>2783</v>
      </c>
      <c r="E215" s="465" t="s">
        <v>2784</v>
      </c>
      <c r="F215" s="466" t="s">
        <v>2785</v>
      </c>
      <c r="G215" s="518" t="s">
        <v>3281</v>
      </c>
      <c r="H215" s="477">
        <v>44970</v>
      </c>
      <c r="I215" s="488">
        <f t="shared" si="8"/>
        <v>79888918.918918908</v>
      </c>
      <c r="J215" s="488">
        <f t="shared" si="9"/>
        <v>8787781.0810810793</v>
      </c>
      <c r="K215" s="474">
        <v>88676700</v>
      </c>
      <c r="L215" s="475"/>
    </row>
    <row r="216" spans="1:12" s="520" customFormat="1" x14ac:dyDescent="0.2">
      <c r="A216" s="517">
        <v>22</v>
      </c>
      <c r="B216" s="469" t="s">
        <v>610</v>
      </c>
      <c r="C216" s="476" t="s">
        <v>3325</v>
      </c>
      <c r="D216" s="464" t="s">
        <v>2783</v>
      </c>
      <c r="E216" s="465" t="s">
        <v>2784</v>
      </c>
      <c r="F216" s="466" t="s">
        <v>2785</v>
      </c>
      <c r="G216" s="518" t="s">
        <v>3282</v>
      </c>
      <c r="H216" s="477">
        <v>44970</v>
      </c>
      <c r="I216" s="473">
        <f t="shared" si="8"/>
        <v>47232027.027027026</v>
      </c>
      <c r="J216" s="473">
        <f t="shared" si="9"/>
        <v>5195522.9729729732</v>
      </c>
      <c r="K216" s="474">
        <v>52427550</v>
      </c>
      <c r="L216" s="475"/>
    </row>
    <row r="217" spans="1:12" s="520" customFormat="1" x14ac:dyDescent="0.2">
      <c r="A217" s="517">
        <v>23</v>
      </c>
      <c r="B217" s="485" t="s">
        <v>611</v>
      </c>
      <c r="C217" s="476" t="s">
        <v>3326</v>
      </c>
      <c r="D217" s="464" t="s">
        <v>2783</v>
      </c>
      <c r="E217" s="465" t="s">
        <v>2784</v>
      </c>
      <c r="F217" s="466" t="s">
        <v>2785</v>
      </c>
      <c r="G217" s="518" t="s">
        <v>3283</v>
      </c>
      <c r="H217" s="477">
        <v>44970</v>
      </c>
      <c r="I217" s="488">
        <f t="shared" si="8"/>
        <v>6189324.3243243238</v>
      </c>
      <c r="J217" s="488">
        <f t="shared" si="9"/>
        <v>680825.67567567562</v>
      </c>
      <c r="K217" s="474">
        <v>6870150</v>
      </c>
      <c r="L217" s="475"/>
    </row>
    <row r="218" spans="1:12" s="520" customFormat="1" x14ac:dyDescent="0.2">
      <c r="A218" s="517">
        <v>24</v>
      </c>
      <c r="B218" s="469" t="s">
        <v>612</v>
      </c>
      <c r="C218" s="476" t="s">
        <v>3327</v>
      </c>
      <c r="D218" s="487" t="s">
        <v>2753</v>
      </c>
      <c r="E218" s="503" t="s">
        <v>2754</v>
      </c>
      <c r="F218" s="504" t="s">
        <v>2755</v>
      </c>
      <c r="G218" s="518" t="s">
        <v>3284</v>
      </c>
      <c r="H218" s="477">
        <v>44972</v>
      </c>
      <c r="I218" s="473">
        <f t="shared" si="8"/>
        <v>634864.86486486485</v>
      </c>
      <c r="J218" s="473">
        <f t="shared" si="9"/>
        <v>69835.135135135133</v>
      </c>
      <c r="K218" s="474">
        <v>704700</v>
      </c>
      <c r="L218" s="475"/>
    </row>
    <row r="219" spans="1:12" s="520" customFormat="1" x14ac:dyDescent="0.2">
      <c r="A219" s="517">
        <v>25</v>
      </c>
      <c r="B219" s="485" t="s">
        <v>613</v>
      </c>
      <c r="C219" s="476" t="s">
        <v>3328</v>
      </c>
      <c r="D219" s="487" t="s">
        <v>2753</v>
      </c>
      <c r="E219" s="503" t="s">
        <v>2754</v>
      </c>
      <c r="F219" s="504" t="s">
        <v>2755</v>
      </c>
      <c r="G219" s="518" t="s">
        <v>3285</v>
      </c>
      <c r="H219" s="477">
        <v>44973</v>
      </c>
      <c r="I219" s="488">
        <f t="shared" si="8"/>
        <v>3205362.1621621619</v>
      </c>
      <c r="J219" s="488">
        <f t="shared" si="9"/>
        <v>352589.83783783781</v>
      </c>
      <c r="K219" s="474">
        <v>3557952</v>
      </c>
      <c r="L219" s="475"/>
    </row>
    <row r="220" spans="1:12" s="521" customFormat="1" x14ac:dyDescent="0.2">
      <c r="A220" s="517">
        <v>26</v>
      </c>
      <c r="B220" s="469" t="s">
        <v>614</v>
      </c>
      <c r="C220" s="476" t="s">
        <v>3329</v>
      </c>
      <c r="D220" s="464" t="s">
        <v>2779</v>
      </c>
      <c r="E220" s="471" t="s">
        <v>2780</v>
      </c>
      <c r="F220" s="471" t="s">
        <v>2755</v>
      </c>
      <c r="G220" s="518" t="s">
        <v>3286</v>
      </c>
      <c r="H220" s="477">
        <v>44978</v>
      </c>
      <c r="I220" s="473">
        <f t="shared" si="8"/>
        <v>2842054.054054054</v>
      </c>
      <c r="J220" s="473">
        <f t="shared" si="9"/>
        <v>312625.94594594592</v>
      </c>
      <c r="K220" s="474">
        <v>3154680</v>
      </c>
      <c r="L220" s="475"/>
    </row>
    <row r="221" spans="1:12" s="521" customFormat="1" x14ac:dyDescent="0.2">
      <c r="A221" s="517">
        <v>27</v>
      </c>
      <c r="B221" s="485" t="s">
        <v>615</v>
      </c>
      <c r="C221" s="476" t="s">
        <v>3330</v>
      </c>
      <c r="D221" s="725" t="s">
        <v>3302</v>
      </c>
      <c r="E221" s="708" t="s">
        <v>3303</v>
      </c>
      <c r="F221" s="727" t="s">
        <v>2873</v>
      </c>
      <c r="G221" s="518" t="s">
        <v>3287</v>
      </c>
      <c r="H221" s="477">
        <v>44978</v>
      </c>
      <c r="I221" s="488">
        <f t="shared" si="8"/>
        <v>1767891.8918918918</v>
      </c>
      <c r="J221" s="488">
        <f t="shared" si="9"/>
        <v>194468.10810810811</v>
      </c>
      <c r="K221" s="474">
        <v>1962360</v>
      </c>
      <c r="L221" s="475"/>
    </row>
    <row r="222" spans="1:12" s="521" customFormat="1" x14ac:dyDescent="0.2">
      <c r="A222" s="517">
        <v>28</v>
      </c>
      <c r="B222" s="469" t="s">
        <v>616</v>
      </c>
      <c r="C222" s="476" t="s">
        <v>3331</v>
      </c>
      <c r="D222" s="487" t="s">
        <v>2753</v>
      </c>
      <c r="E222" s="503" t="s">
        <v>2754</v>
      </c>
      <c r="F222" s="504" t="s">
        <v>2755</v>
      </c>
      <c r="G222" s="518" t="s">
        <v>3288</v>
      </c>
      <c r="H222" s="477">
        <v>44974</v>
      </c>
      <c r="I222" s="473">
        <f t="shared" si="8"/>
        <v>827675.67567567562</v>
      </c>
      <c r="J222" s="473">
        <f t="shared" si="9"/>
        <v>91044.32432432432</v>
      </c>
      <c r="K222" s="474">
        <v>918720</v>
      </c>
      <c r="L222" s="475"/>
    </row>
    <row r="223" spans="1:12" s="521" customFormat="1" x14ac:dyDescent="0.2">
      <c r="A223" s="517">
        <v>29</v>
      </c>
      <c r="B223" s="485" t="s">
        <v>617</v>
      </c>
      <c r="C223" s="476" t="s">
        <v>3332</v>
      </c>
      <c r="D223" s="487" t="s">
        <v>2753</v>
      </c>
      <c r="E223" s="503" t="s">
        <v>2754</v>
      </c>
      <c r="F223" s="504" t="s">
        <v>2755</v>
      </c>
      <c r="G223" s="518" t="s">
        <v>3289</v>
      </c>
      <c r="H223" s="477">
        <v>44980</v>
      </c>
      <c r="I223" s="488">
        <f t="shared" si="8"/>
        <v>2341945.9459459456</v>
      </c>
      <c r="J223" s="488">
        <f t="shared" si="9"/>
        <v>257614.05405405402</v>
      </c>
      <c r="K223" s="474">
        <v>2599560</v>
      </c>
      <c r="L223" s="475"/>
    </row>
    <row r="224" spans="1:12" s="521" customFormat="1" x14ac:dyDescent="0.2">
      <c r="A224" s="517">
        <v>30</v>
      </c>
      <c r="B224" s="469" t="s">
        <v>618</v>
      </c>
      <c r="C224" s="476" t="s">
        <v>3333</v>
      </c>
      <c r="D224" s="464" t="s">
        <v>2758</v>
      </c>
      <c r="E224" s="708" t="s">
        <v>2759</v>
      </c>
      <c r="F224" s="466" t="s">
        <v>2755</v>
      </c>
      <c r="G224" s="518" t="s">
        <v>3290</v>
      </c>
      <c r="H224" s="477">
        <v>44980</v>
      </c>
      <c r="I224" s="473">
        <f t="shared" si="8"/>
        <v>4488648.6486486485</v>
      </c>
      <c r="J224" s="473">
        <f t="shared" si="9"/>
        <v>493751.35135135136</v>
      </c>
      <c r="K224" s="474">
        <v>4982400</v>
      </c>
      <c r="L224" s="475"/>
    </row>
    <row r="225" spans="1:12" s="521" customFormat="1" x14ac:dyDescent="0.2">
      <c r="A225" s="517">
        <v>31</v>
      </c>
      <c r="B225" s="485" t="s">
        <v>619</v>
      </c>
      <c r="C225" s="476" t="s">
        <v>3334</v>
      </c>
      <c r="D225" s="725" t="s">
        <v>3300</v>
      </c>
      <c r="E225" s="708" t="s">
        <v>3301</v>
      </c>
      <c r="F225" s="726" t="s">
        <v>3001</v>
      </c>
      <c r="G225" s="518" t="s">
        <v>3291</v>
      </c>
      <c r="H225" s="477">
        <v>44980</v>
      </c>
      <c r="I225" s="488">
        <f t="shared" si="8"/>
        <v>2326524.3243243243</v>
      </c>
      <c r="J225" s="488">
        <f t="shared" si="9"/>
        <v>255917.67567567568</v>
      </c>
      <c r="K225" s="474">
        <v>2582442</v>
      </c>
      <c r="L225" s="475"/>
    </row>
    <row r="226" spans="1:12" s="521" customFormat="1" x14ac:dyDescent="0.2">
      <c r="A226" s="517">
        <v>32</v>
      </c>
      <c r="B226" s="469" t="s">
        <v>620</v>
      </c>
      <c r="C226" s="476" t="s">
        <v>3335</v>
      </c>
      <c r="D226" s="464" t="s">
        <v>2849</v>
      </c>
      <c r="E226" s="471" t="s">
        <v>2850</v>
      </c>
      <c r="F226" s="471" t="s">
        <v>2851</v>
      </c>
      <c r="G226" s="518" t="s">
        <v>3292</v>
      </c>
      <c r="H226" s="477">
        <v>44980</v>
      </c>
      <c r="I226" s="473">
        <f t="shared" si="8"/>
        <v>1550918.9189189188</v>
      </c>
      <c r="J226" s="473">
        <f t="shared" si="9"/>
        <v>170601.08108108107</v>
      </c>
      <c r="K226" s="474">
        <v>1721520</v>
      </c>
      <c r="L226" s="475"/>
    </row>
    <row r="227" spans="1:12" s="521" customFormat="1" x14ac:dyDescent="0.2">
      <c r="A227" s="517">
        <v>33</v>
      </c>
      <c r="B227" s="485" t="s">
        <v>621</v>
      </c>
      <c r="C227" s="476" t="s">
        <v>3336</v>
      </c>
      <c r="D227" s="487" t="s">
        <v>2753</v>
      </c>
      <c r="E227" s="503" t="s">
        <v>2754</v>
      </c>
      <c r="F227" s="504" t="s">
        <v>2755</v>
      </c>
      <c r="G227" s="518" t="s">
        <v>3293</v>
      </c>
      <c r="H227" s="477">
        <v>44980</v>
      </c>
      <c r="I227" s="488">
        <f t="shared" si="8"/>
        <v>3804486.4864864862</v>
      </c>
      <c r="J227" s="488">
        <f t="shared" si="9"/>
        <v>418493.51351351349</v>
      </c>
      <c r="K227" s="474">
        <v>4222980</v>
      </c>
      <c r="L227" s="478"/>
    </row>
    <row r="228" spans="1:12" s="521" customFormat="1" x14ac:dyDescent="0.2">
      <c r="A228" s="517">
        <v>34</v>
      </c>
      <c r="B228" s="469" t="s">
        <v>622</v>
      </c>
      <c r="C228" s="476" t="s">
        <v>3337</v>
      </c>
      <c r="D228" s="511" t="s">
        <v>2773</v>
      </c>
      <c r="E228" s="465" t="s">
        <v>2774</v>
      </c>
      <c r="F228" s="510" t="s">
        <v>2755</v>
      </c>
      <c r="G228" s="518" t="s">
        <v>3294</v>
      </c>
      <c r="H228" s="477">
        <v>44980</v>
      </c>
      <c r="I228" s="473">
        <f t="shared" si="8"/>
        <v>3046670.2702702698</v>
      </c>
      <c r="J228" s="473">
        <f t="shared" si="9"/>
        <v>335133.7297297297</v>
      </c>
      <c r="K228" s="474">
        <v>3381804</v>
      </c>
      <c r="L228" s="475"/>
    </row>
    <row r="229" spans="1:12" s="521" customFormat="1" x14ac:dyDescent="0.2">
      <c r="A229" s="517">
        <v>35</v>
      </c>
      <c r="B229" s="485" t="s">
        <v>623</v>
      </c>
      <c r="C229" s="476" t="s">
        <v>3338</v>
      </c>
      <c r="D229" s="487" t="s">
        <v>2790</v>
      </c>
      <c r="E229" s="503" t="s">
        <v>2791</v>
      </c>
      <c r="F229" s="504" t="s">
        <v>2792</v>
      </c>
      <c r="G229" s="518" t="s">
        <v>3295</v>
      </c>
      <c r="H229" s="477">
        <v>44981</v>
      </c>
      <c r="I229" s="488">
        <f t="shared" si="8"/>
        <v>3866126.1261261259</v>
      </c>
      <c r="J229" s="488">
        <f t="shared" si="9"/>
        <v>425273.87387387385</v>
      </c>
      <c r="K229" s="474">
        <v>4291400</v>
      </c>
      <c r="L229" s="475"/>
    </row>
    <row r="230" spans="1:12" s="521" customFormat="1" x14ac:dyDescent="0.2">
      <c r="A230" s="517">
        <v>36</v>
      </c>
      <c r="B230" s="469" t="s">
        <v>624</v>
      </c>
      <c r="C230" s="476" t="s">
        <v>3339</v>
      </c>
      <c r="D230" s="487" t="s">
        <v>2790</v>
      </c>
      <c r="E230" s="503" t="s">
        <v>2791</v>
      </c>
      <c r="F230" s="504" t="s">
        <v>2792</v>
      </c>
      <c r="G230" s="518" t="s">
        <v>3296</v>
      </c>
      <c r="H230" s="477">
        <v>44982</v>
      </c>
      <c r="I230" s="473">
        <f t="shared" si="8"/>
        <v>697297.29729729728</v>
      </c>
      <c r="J230" s="473">
        <f t="shared" si="9"/>
        <v>76702.702702702707</v>
      </c>
      <c r="K230" s="474">
        <v>774000</v>
      </c>
      <c r="L230" s="475"/>
    </row>
    <row r="231" spans="1:12" s="521" customFormat="1" x14ac:dyDescent="0.2">
      <c r="A231" s="517">
        <v>37</v>
      </c>
      <c r="B231" s="485" t="s">
        <v>625</v>
      </c>
      <c r="C231" s="476" t="s">
        <v>3340</v>
      </c>
      <c r="D231" s="487" t="s">
        <v>2753</v>
      </c>
      <c r="E231" s="503" t="s">
        <v>2754</v>
      </c>
      <c r="F231" s="504" t="s">
        <v>2755</v>
      </c>
      <c r="G231" s="518" t="s">
        <v>3297</v>
      </c>
      <c r="H231" s="477">
        <v>44984</v>
      </c>
      <c r="I231" s="488">
        <f t="shared" si="8"/>
        <v>1427362.1621621621</v>
      </c>
      <c r="J231" s="488">
        <f t="shared" si="9"/>
        <v>157009.83783783784</v>
      </c>
      <c r="K231" s="474">
        <v>1584372</v>
      </c>
      <c r="L231" s="475"/>
    </row>
    <row r="232" spans="1:12" s="521" customFormat="1" x14ac:dyDescent="0.2">
      <c r="A232" s="517">
        <v>38</v>
      </c>
      <c r="B232" s="469" t="s">
        <v>626</v>
      </c>
      <c r="C232" s="476" t="s">
        <v>3341</v>
      </c>
      <c r="D232" s="487" t="s">
        <v>2753</v>
      </c>
      <c r="E232" s="503" t="s">
        <v>2754</v>
      </c>
      <c r="F232" s="504" t="s">
        <v>2755</v>
      </c>
      <c r="G232" s="518" t="s">
        <v>3298</v>
      </c>
      <c r="H232" s="477">
        <v>44985</v>
      </c>
      <c r="I232" s="473">
        <f t="shared" si="8"/>
        <v>3076699.0990990987</v>
      </c>
      <c r="J232" s="473">
        <f t="shared" si="9"/>
        <v>338436.90090090089</v>
      </c>
      <c r="K232" s="474">
        <v>3415136</v>
      </c>
      <c r="L232" s="475"/>
    </row>
    <row r="233" spans="1:12" s="521" customFormat="1" x14ac:dyDescent="0.2">
      <c r="A233" s="517">
        <v>39</v>
      </c>
      <c r="B233" s="485" t="s">
        <v>627</v>
      </c>
      <c r="C233" s="476" t="s">
        <v>3342</v>
      </c>
      <c r="D233" s="487" t="s">
        <v>2790</v>
      </c>
      <c r="E233" s="503" t="s">
        <v>2791</v>
      </c>
      <c r="F233" s="504" t="s">
        <v>2792</v>
      </c>
      <c r="G233" s="518" t="s">
        <v>3299</v>
      </c>
      <c r="H233" s="477">
        <v>44985</v>
      </c>
      <c r="I233" s="488">
        <f t="shared" si="8"/>
        <v>1363603.6036036036</v>
      </c>
      <c r="J233" s="488">
        <f t="shared" si="9"/>
        <v>149996.39639639639</v>
      </c>
      <c r="K233" s="474">
        <v>1513600</v>
      </c>
      <c r="L233" s="475"/>
    </row>
    <row r="234" spans="1:12" s="521" customFormat="1" x14ac:dyDescent="0.2">
      <c r="A234" s="517">
        <v>40</v>
      </c>
      <c r="B234" s="469" t="s">
        <v>628</v>
      </c>
      <c r="C234" s="476" t="s">
        <v>3497</v>
      </c>
      <c r="D234" s="487"/>
      <c r="E234" s="503" t="s">
        <v>2900</v>
      </c>
      <c r="F234" s="504" t="s">
        <v>2823</v>
      </c>
      <c r="G234" s="518"/>
      <c r="H234" s="477">
        <v>44959</v>
      </c>
      <c r="I234" s="473">
        <f t="shared" si="8"/>
        <v>79507751.351351351</v>
      </c>
      <c r="J234" s="473">
        <f t="shared" si="9"/>
        <v>8745852.6486486495</v>
      </c>
      <c r="K234" s="474">
        <f>25387344+40981680+21884580</f>
        <v>88253604</v>
      </c>
      <c r="L234" s="475"/>
    </row>
    <row r="235" spans="1:12" s="521" customFormat="1" x14ac:dyDescent="0.2">
      <c r="A235" s="517">
        <v>41</v>
      </c>
      <c r="B235" s="485" t="s">
        <v>629</v>
      </c>
      <c r="C235" s="476" t="s">
        <v>3498</v>
      </c>
      <c r="D235" s="464"/>
      <c r="E235" s="471" t="s">
        <v>2898</v>
      </c>
      <c r="F235" s="471" t="s">
        <v>2823</v>
      </c>
      <c r="G235" s="518"/>
      <c r="H235" s="477">
        <v>44959</v>
      </c>
      <c r="I235" s="488">
        <f t="shared" si="8"/>
        <v>44049657.657657653</v>
      </c>
      <c r="J235" s="488">
        <f t="shared" si="9"/>
        <v>4845462.3423423423</v>
      </c>
      <c r="K235" s="474">
        <f>11246050+22524804+15124266</f>
        <v>48895120</v>
      </c>
      <c r="L235" s="475"/>
    </row>
    <row r="236" spans="1:12" s="521" customFormat="1" x14ac:dyDescent="0.2">
      <c r="A236" s="517">
        <v>42</v>
      </c>
      <c r="B236" s="469" t="s">
        <v>630</v>
      </c>
      <c r="C236" s="476" t="s">
        <v>3448</v>
      </c>
      <c r="D236" s="464"/>
      <c r="E236" s="465" t="s">
        <v>3043</v>
      </c>
      <c r="F236" s="466" t="s">
        <v>3044</v>
      </c>
      <c r="G236" s="518"/>
      <c r="H236" s="477">
        <v>44959</v>
      </c>
      <c r="I236" s="473">
        <f t="shared" si="8"/>
        <v>7098810.81081081</v>
      </c>
      <c r="J236" s="473">
        <f t="shared" si="9"/>
        <v>780869.18918918911</v>
      </c>
      <c r="K236" s="474">
        <v>7879680</v>
      </c>
      <c r="L236" s="475"/>
    </row>
    <row r="237" spans="1:12" s="521" customFormat="1" x14ac:dyDescent="0.2">
      <c r="A237" s="517">
        <v>43</v>
      </c>
      <c r="B237" s="485" t="s">
        <v>631</v>
      </c>
      <c r="C237" s="476" t="s">
        <v>3508</v>
      </c>
      <c r="D237" s="464"/>
      <c r="E237" s="465" t="s">
        <v>2947</v>
      </c>
      <c r="F237" s="466" t="s">
        <v>2823</v>
      </c>
      <c r="G237" s="518"/>
      <c r="H237" s="477">
        <v>44961</v>
      </c>
      <c r="I237" s="488">
        <f t="shared" si="8"/>
        <v>5519448.6486486485</v>
      </c>
      <c r="J237" s="488">
        <f t="shared" si="9"/>
        <v>607139.35135135136</v>
      </c>
      <c r="K237" s="474">
        <f>2677860+1368000+2080728</f>
        <v>6126588</v>
      </c>
      <c r="L237" s="475"/>
    </row>
    <row r="238" spans="1:12" x14ac:dyDescent="0.2">
      <c r="A238" s="305">
        <v>44</v>
      </c>
      <c r="B238" s="469" t="s">
        <v>632</v>
      </c>
      <c r="C238" s="476" t="s">
        <v>3449</v>
      </c>
      <c r="D238" s="464"/>
      <c r="E238" s="465" t="s">
        <v>3450</v>
      </c>
      <c r="F238" s="466" t="s">
        <v>2873</v>
      </c>
      <c r="G238" s="512"/>
      <c r="H238" s="477">
        <v>44963</v>
      </c>
      <c r="I238" s="473">
        <f t="shared" si="8"/>
        <v>213288.28828828825</v>
      </c>
      <c r="J238" s="473">
        <f t="shared" si="9"/>
        <v>23461.711711711709</v>
      </c>
      <c r="K238" s="474">
        <v>236750</v>
      </c>
      <c r="L238" s="475"/>
    </row>
    <row r="239" spans="1:12" x14ac:dyDescent="0.2">
      <c r="A239" s="305">
        <v>45</v>
      </c>
      <c r="B239" s="485" t="s">
        <v>633</v>
      </c>
      <c r="C239" s="476" t="s">
        <v>3451</v>
      </c>
      <c r="D239" s="464"/>
      <c r="E239" s="465" t="s">
        <v>3452</v>
      </c>
      <c r="F239" s="466" t="s">
        <v>2944</v>
      </c>
      <c r="G239" s="464"/>
      <c r="H239" s="477">
        <v>44960</v>
      </c>
      <c r="I239" s="488">
        <f t="shared" si="8"/>
        <v>699792.79279279278</v>
      </c>
      <c r="J239" s="488">
        <f t="shared" si="9"/>
        <v>76977.207207207204</v>
      </c>
      <c r="K239" s="474">
        <v>776770</v>
      </c>
      <c r="L239" s="475"/>
    </row>
    <row r="240" spans="1:12" x14ac:dyDescent="0.2">
      <c r="A240" s="305">
        <v>46</v>
      </c>
      <c r="B240" s="469" t="s">
        <v>634</v>
      </c>
      <c r="C240" s="476" t="s">
        <v>3453</v>
      </c>
      <c r="D240" s="464"/>
      <c r="E240" s="465" t="s">
        <v>3106</v>
      </c>
      <c r="F240" s="466" t="s">
        <v>2946</v>
      </c>
      <c r="G240" s="464"/>
      <c r="H240" s="477">
        <v>44960</v>
      </c>
      <c r="I240" s="473">
        <f t="shared" si="8"/>
        <v>141153.15315315314</v>
      </c>
      <c r="J240" s="473">
        <f t="shared" si="9"/>
        <v>15526.846846846845</v>
      </c>
      <c r="K240" s="474">
        <v>156680</v>
      </c>
      <c r="L240" s="475"/>
    </row>
    <row r="241" spans="1:12" x14ac:dyDescent="0.2">
      <c r="A241" s="305">
        <v>47</v>
      </c>
      <c r="B241" s="485" t="s">
        <v>635</v>
      </c>
      <c r="C241" s="476" t="s">
        <v>3546</v>
      </c>
      <c r="D241" s="464"/>
      <c r="E241" s="465" t="s">
        <v>3454</v>
      </c>
      <c r="F241" s="466" t="s">
        <v>2944</v>
      </c>
      <c r="G241" s="464"/>
      <c r="H241" s="477">
        <v>44960</v>
      </c>
      <c r="I241" s="488">
        <f t="shared" si="8"/>
        <v>940962.16216216213</v>
      </c>
      <c r="J241" s="488">
        <f t="shared" si="9"/>
        <v>103505.83783783784</v>
      </c>
      <c r="K241" s="474">
        <f>690840+353628</f>
        <v>1044468</v>
      </c>
      <c r="L241" s="475"/>
    </row>
    <row r="242" spans="1:12" x14ac:dyDescent="0.2">
      <c r="A242" s="305">
        <v>48</v>
      </c>
      <c r="B242" s="469" t="s">
        <v>636</v>
      </c>
      <c r="C242" s="476" t="s">
        <v>3561</v>
      </c>
      <c r="D242" s="464"/>
      <c r="E242" s="465" t="s">
        <v>3455</v>
      </c>
      <c r="F242" s="466" t="s">
        <v>2888</v>
      </c>
      <c r="G242" s="464"/>
      <c r="H242" s="477">
        <v>44961</v>
      </c>
      <c r="I242" s="473">
        <f t="shared" si="8"/>
        <v>3549405.405405405</v>
      </c>
      <c r="J242" s="473">
        <f t="shared" si="9"/>
        <v>390434.59459459456</v>
      </c>
      <c r="K242" s="474">
        <f>2349540+1590300</f>
        <v>3939840</v>
      </c>
      <c r="L242" s="475"/>
    </row>
    <row r="243" spans="1:12" x14ac:dyDescent="0.2">
      <c r="A243" s="305">
        <v>49</v>
      </c>
      <c r="B243" s="485" t="s">
        <v>637</v>
      </c>
      <c r="C243" s="476" t="s">
        <v>3579</v>
      </c>
      <c r="D243" s="464"/>
      <c r="E243" s="465" t="s">
        <v>2956</v>
      </c>
      <c r="F243" s="466" t="s">
        <v>2755</v>
      </c>
      <c r="G243" s="464"/>
      <c r="H243" s="477">
        <v>44961</v>
      </c>
      <c r="I243" s="488">
        <f t="shared" si="8"/>
        <v>2324405.405405405</v>
      </c>
      <c r="J243" s="488">
        <f t="shared" si="9"/>
        <v>255684.59459459456</v>
      </c>
      <c r="K243" s="474">
        <f>113890+2466200</f>
        <v>2580090</v>
      </c>
      <c r="L243" s="475"/>
    </row>
    <row r="244" spans="1:12" x14ac:dyDescent="0.2">
      <c r="A244" s="305">
        <v>50</v>
      </c>
      <c r="B244" s="469" t="s">
        <v>638</v>
      </c>
      <c r="C244" s="476" t="s">
        <v>3460</v>
      </c>
      <c r="D244" s="464"/>
      <c r="E244" s="465" t="s">
        <v>2907</v>
      </c>
      <c r="F244" s="466" t="s">
        <v>2858</v>
      </c>
      <c r="G244" s="464"/>
      <c r="H244" s="477">
        <v>44961</v>
      </c>
      <c r="I244" s="473">
        <f t="shared" si="8"/>
        <v>100555702.7027027</v>
      </c>
      <c r="J244" s="473">
        <f t="shared" si="9"/>
        <v>11061127.297297297</v>
      </c>
      <c r="K244" s="474">
        <f>5750730+72025200+33840900</f>
        <v>111616830</v>
      </c>
      <c r="L244" s="475"/>
    </row>
    <row r="245" spans="1:12" x14ac:dyDescent="0.2">
      <c r="A245" s="305">
        <v>51</v>
      </c>
      <c r="B245" s="485" t="s">
        <v>639</v>
      </c>
      <c r="C245" s="476" t="s">
        <v>3500</v>
      </c>
      <c r="D245" s="464"/>
      <c r="E245" s="465" t="s">
        <v>2936</v>
      </c>
      <c r="F245" s="466" t="s">
        <v>2922</v>
      </c>
      <c r="G245" s="464"/>
      <c r="H245" s="477">
        <v>44963</v>
      </c>
      <c r="I245" s="488">
        <f t="shared" si="8"/>
        <v>8188272.072072071</v>
      </c>
      <c r="J245" s="488">
        <f t="shared" si="9"/>
        <v>900709.92792792781</v>
      </c>
      <c r="K245" s="474">
        <f>1699050+6010992+1378940</f>
        <v>9088982</v>
      </c>
      <c r="L245" s="475"/>
    </row>
    <row r="246" spans="1:12" x14ac:dyDescent="0.2">
      <c r="A246" s="305">
        <v>52</v>
      </c>
      <c r="B246" s="469" t="s">
        <v>640</v>
      </c>
      <c r="C246" s="476" t="s">
        <v>3544</v>
      </c>
      <c r="D246" s="464"/>
      <c r="E246" s="465" t="s">
        <v>2945</v>
      </c>
      <c r="F246" s="466" t="s">
        <v>2946</v>
      </c>
      <c r="G246" s="464"/>
      <c r="H246" s="477">
        <v>44963</v>
      </c>
      <c r="I246" s="473">
        <f t="shared" si="8"/>
        <v>6636250.4504504502</v>
      </c>
      <c r="J246" s="473">
        <f t="shared" si="9"/>
        <v>729987.54954954947</v>
      </c>
      <c r="K246" s="474">
        <f>4385300+684750+2296188</f>
        <v>7366238</v>
      </c>
      <c r="L246" s="475"/>
    </row>
    <row r="247" spans="1:12" x14ac:dyDescent="0.2">
      <c r="A247" s="305">
        <v>53</v>
      </c>
      <c r="B247" s="485" t="s">
        <v>641</v>
      </c>
      <c r="C247" s="476" t="s">
        <v>3501</v>
      </c>
      <c r="D247" s="464"/>
      <c r="E247" s="471" t="s">
        <v>2894</v>
      </c>
      <c r="F247" s="471" t="s">
        <v>2851</v>
      </c>
      <c r="G247" s="464"/>
      <c r="H247" s="472">
        <v>44963</v>
      </c>
      <c r="I247" s="488">
        <f t="shared" si="8"/>
        <v>12389639.639639638</v>
      </c>
      <c r="J247" s="488">
        <f t="shared" si="9"/>
        <v>1362860.3603603602</v>
      </c>
      <c r="K247" s="474">
        <f>4801680+6426860+2523960</f>
        <v>13752500</v>
      </c>
      <c r="L247" s="475"/>
    </row>
    <row r="248" spans="1:12" x14ac:dyDescent="0.2">
      <c r="A248" s="305">
        <v>54</v>
      </c>
      <c r="B248" s="469" t="s">
        <v>642</v>
      </c>
      <c r="C248" s="476" t="s">
        <v>3513</v>
      </c>
      <c r="D248" s="464"/>
      <c r="E248" s="465" t="s">
        <v>2948</v>
      </c>
      <c r="F248" s="466" t="s">
        <v>2892</v>
      </c>
      <c r="G248" s="464"/>
      <c r="H248" s="477">
        <v>44963</v>
      </c>
      <c r="I248" s="473">
        <f t="shared" si="8"/>
        <v>26810027.027027026</v>
      </c>
      <c r="J248" s="473">
        <f t="shared" si="9"/>
        <v>2949102.9729729728</v>
      </c>
      <c r="K248" s="474">
        <f>4801680+5750730+19206720</f>
        <v>29759130</v>
      </c>
      <c r="L248" s="475"/>
    </row>
    <row r="249" spans="1:12" x14ac:dyDescent="0.2">
      <c r="A249" s="305">
        <v>55</v>
      </c>
      <c r="B249" s="485" t="s">
        <v>643</v>
      </c>
      <c r="C249" s="476" t="s">
        <v>3550</v>
      </c>
      <c r="D249" s="464"/>
      <c r="E249" s="465" t="s">
        <v>3020</v>
      </c>
      <c r="F249" s="466" t="s">
        <v>3021</v>
      </c>
      <c r="G249" s="464"/>
      <c r="H249" s="477">
        <v>44963</v>
      </c>
      <c r="I249" s="488">
        <f t="shared" si="8"/>
        <v>20127162.162162159</v>
      </c>
      <c r="J249" s="488">
        <f t="shared" si="9"/>
        <v>2213987.8378378376</v>
      </c>
      <c r="K249" s="474">
        <f>11147490+11193660</f>
        <v>22341150</v>
      </c>
      <c r="L249" s="475"/>
    </row>
    <row r="250" spans="1:12" x14ac:dyDescent="0.2">
      <c r="A250" s="305">
        <v>56</v>
      </c>
      <c r="B250" s="469" t="s">
        <v>644</v>
      </c>
      <c r="C250" s="476" t="s">
        <v>3456</v>
      </c>
      <c r="D250" s="464"/>
      <c r="E250" s="479" t="s">
        <v>2913</v>
      </c>
      <c r="F250" s="466" t="s">
        <v>2879</v>
      </c>
      <c r="G250" s="464"/>
      <c r="H250" s="477">
        <v>44964</v>
      </c>
      <c r="I250" s="473">
        <f t="shared" si="8"/>
        <v>1404972.9729729728</v>
      </c>
      <c r="J250" s="473">
        <f t="shared" si="9"/>
        <v>154547.02702702701</v>
      </c>
      <c r="K250" s="474">
        <v>1559520</v>
      </c>
      <c r="L250" s="475"/>
    </row>
    <row r="251" spans="1:12" x14ac:dyDescent="0.2">
      <c r="A251" s="305">
        <v>57</v>
      </c>
      <c r="B251" s="485" t="s">
        <v>645</v>
      </c>
      <c r="C251" s="476" t="s">
        <v>3562</v>
      </c>
      <c r="D251" s="464"/>
      <c r="E251" s="465" t="s">
        <v>2981</v>
      </c>
      <c r="F251" s="466" t="s">
        <v>2982</v>
      </c>
      <c r="G251" s="464"/>
      <c r="H251" s="477">
        <v>44964</v>
      </c>
      <c r="I251" s="488">
        <f t="shared" si="8"/>
        <v>10764682.882882882</v>
      </c>
      <c r="J251" s="488">
        <f t="shared" si="9"/>
        <v>1184115.1171171169</v>
      </c>
      <c r="K251" s="474">
        <f>6082130+2523960+3342708</f>
        <v>11948798</v>
      </c>
      <c r="L251" s="475"/>
    </row>
    <row r="252" spans="1:12" x14ac:dyDescent="0.2">
      <c r="A252" s="305">
        <v>58</v>
      </c>
      <c r="B252" s="469" t="s">
        <v>646</v>
      </c>
      <c r="C252" s="476" t="s">
        <v>3564</v>
      </c>
      <c r="D252" s="464"/>
      <c r="E252" s="465" t="s">
        <v>3133</v>
      </c>
      <c r="F252" s="466" t="s">
        <v>2935</v>
      </c>
      <c r="G252" s="464"/>
      <c r="H252" s="477">
        <v>44959</v>
      </c>
      <c r="I252" s="473">
        <f t="shared" si="8"/>
        <v>7231909.9099099096</v>
      </c>
      <c r="J252" s="473">
        <f t="shared" si="9"/>
        <v>795510.09009009006</v>
      </c>
      <c r="K252" s="474">
        <f>2462400+3348860+2216160</f>
        <v>8027420</v>
      </c>
      <c r="L252" s="475"/>
    </row>
    <row r="253" spans="1:12" x14ac:dyDescent="0.2">
      <c r="A253" s="305">
        <v>59</v>
      </c>
      <c r="B253" s="485" t="s">
        <v>647</v>
      </c>
      <c r="C253" s="476" t="s">
        <v>3468</v>
      </c>
      <c r="D253" s="464"/>
      <c r="E253" s="465" t="s">
        <v>2883</v>
      </c>
      <c r="F253" s="466" t="s">
        <v>2884</v>
      </c>
      <c r="G253" s="464"/>
      <c r="H253" s="477">
        <v>44959</v>
      </c>
      <c r="I253" s="488">
        <f t="shared" si="8"/>
        <v>15567463.063063061</v>
      </c>
      <c r="J253" s="488">
        <f t="shared" si="9"/>
        <v>1712420.9369369368</v>
      </c>
      <c r="K253" s="474">
        <f>9603360+1809864+5866660</f>
        <v>17279884</v>
      </c>
      <c r="L253" s="475"/>
    </row>
    <row r="254" spans="1:12" x14ac:dyDescent="0.2">
      <c r="A254" s="305">
        <v>60</v>
      </c>
      <c r="B254" s="469" t="s">
        <v>648</v>
      </c>
      <c r="C254" s="476" t="s">
        <v>3469</v>
      </c>
      <c r="D254" s="464"/>
      <c r="E254" s="465" t="s">
        <v>2954</v>
      </c>
      <c r="F254" s="466" t="s">
        <v>2955</v>
      </c>
      <c r="G254" s="464"/>
      <c r="H254" s="477">
        <v>44959</v>
      </c>
      <c r="I254" s="473">
        <f t="shared" si="8"/>
        <v>6731846.8468468459</v>
      </c>
      <c r="J254" s="473">
        <f t="shared" si="9"/>
        <v>740503.15315315302</v>
      </c>
      <c r="K254" s="474">
        <f>3662820+2046870+1762660</f>
        <v>7472350</v>
      </c>
      <c r="L254" s="475"/>
    </row>
    <row r="255" spans="1:12" x14ac:dyDescent="0.2">
      <c r="A255" s="305">
        <v>61</v>
      </c>
      <c r="B255" s="485" t="s">
        <v>649</v>
      </c>
      <c r="C255" s="476" t="s">
        <v>3457</v>
      </c>
      <c r="D255" s="464"/>
      <c r="E255" s="465" t="s">
        <v>3168</v>
      </c>
      <c r="F255" s="466" t="s">
        <v>2873</v>
      </c>
      <c r="G255" s="464"/>
      <c r="H255" s="477">
        <v>44959</v>
      </c>
      <c r="I255" s="488">
        <f t="shared" si="8"/>
        <v>90585.585585585577</v>
      </c>
      <c r="J255" s="488">
        <f t="shared" si="9"/>
        <v>9964.4144144144138</v>
      </c>
      <c r="K255" s="474">
        <v>100550</v>
      </c>
      <c r="L255" s="475"/>
    </row>
    <row r="256" spans="1:12" x14ac:dyDescent="0.2">
      <c r="A256" s="305">
        <v>62</v>
      </c>
      <c r="B256" s="469" t="s">
        <v>650</v>
      </c>
      <c r="C256" s="476" t="s">
        <v>3458</v>
      </c>
      <c r="D256" s="464"/>
      <c r="E256" s="465" t="s">
        <v>2974</v>
      </c>
      <c r="F256" s="466" t="s">
        <v>2755</v>
      </c>
      <c r="G256" s="464"/>
      <c r="H256" s="477">
        <v>44961</v>
      </c>
      <c r="I256" s="473">
        <f t="shared" si="8"/>
        <v>270270.27027027024</v>
      </c>
      <c r="J256" s="473">
        <f t="shared" si="9"/>
        <v>29729.729729729726</v>
      </c>
      <c r="K256" s="474">
        <v>300000</v>
      </c>
      <c r="L256" s="475"/>
    </row>
    <row r="257" spans="1:12" x14ac:dyDescent="0.2">
      <c r="A257" s="305">
        <v>63</v>
      </c>
      <c r="B257" s="485" t="s">
        <v>651</v>
      </c>
      <c r="C257" s="476" t="s">
        <v>3502</v>
      </c>
      <c r="D257" s="464"/>
      <c r="E257" s="465" t="s">
        <v>2907</v>
      </c>
      <c r="F257" s="466" t="s">
        <v>2908</v>
      </c>
      <c r="G257" s="464"/>
      <c r="H257" s="477">
        <v>44961</v>
      </c>
      <c r="I257" s="488">
        <f t="shared" si="8"/>
        <v>4587729.7297297297</v>
      </c>
      <c r="J257" s="488">
        <f t="shared" si="9"/>
        <v>504650.2702702703</v>
      </c>
      <c r="K257" s="474">
        <f>3377250+579690+1135440</f>
        <v>5092380</v>
      </c>
      <c r="L257" s="475"/>
    </row>
    <row r="258" spans="1:12" x14ac:dyDescent="0.2">
      <c r="A258" s="305">
        <v>64</v>
      </c>
      <c r="B258" s="469" t="s">
        <v>652</v>
      </c>
      <c r="C258" s="476" t="s">
        <v>3467</v>
      </c>
      <c r="D258" s="464"/>
      <c r="E258" s="465" t="s">
        <v>3112</v>
      </c>
      <c r="F258" s="466" t="s">
        <v>2955</v>
      </c>
      <c r="G258" s="464"/>
      <c r="H258" s="477">
        <v>44961</v>
      </c>
      <c r="I258" s="473">
        <f t="shared" si="8"/>
        <v>5045888.2882882878</v>
      </c>
      <c r="J258" s="473">
        <f t="shared" si="9"/>
        <v>555047.71171171172</v>
      </c>
      <c r="K258" s="474">
        <f>2165886+3435050</f>
        <v>5600936</v>
      </c>
      <c r="L258" s="475"/>
    </row>
    <row r="259" spans="1:12" x14ac:dyDescent="0.2">
      <c r="A259" s="305">
        <v>65</v>
      </c>
      <c r="B259" s="485" t="s">
        <v>653</v>
      </c>
      <c r="C259" s="476" t="s">
        <v>3598</v>
      </c>
      <c r="D259" s="464"/>
      <c r="E259" s="465" t="s">
        <v>2929</v>
      </c>
      <c r="F259" s="466" t="s">
        <v>2886</v>
      </c>
      <c r="G259" s="464"/>
      <c r="H259" s="477">
        <v>44981</v>
      </c>
      <c r="I259" s="488">
        <f t="shared" si="8"/>
        <v>4033954.9549549548</v>
      </c>
      <c r="J259" s="488">
        <f t="shared" si="9"/>
        <v>443735.04504504503</v>
      </c>
      <c r="K259" s="474">
        <f>2253570+2224120</f>
        <v>4477690</v>
      </c>
      <c r="L259" s="475"/>
    </row>
    <row r="260" spans="1:12" x14ac:dyDescent="0.2">
      <c r="A260" s="305">
        <v>66</v>
      </c>
      <c r="B260" s="469" t="s">
        <v>654</v>
      </c>
      <c r="C260" s="476" t="s">
        <v>3459</v>
      </c>
      <c r="D260" s="464"/>
      <c r="E260" s="465" t="s">
        <v>3003</v>
      </c>
      <c r="F260" s="466" t="s">
        <v>3108</v>
      </c>
      <c r="G260" s="464"/>
      <c r="H260" s="477">
        <v>44963</v>
      </c>
      <c r="I260" s="473">
        <f t="shared" si="8"/>
        <v>732063.06306306296</v>
      </c>
      <c r="J260" s="473">
        <f t="shared" si="9"/>
        <v>80526.936936936923</v>
      </c>
      <c r="K260" s="474">
        <v>812590</v>
      </c>
      <c r="L260" s="475"/>
    </row>
    <row r="261" spans="1:12" x14ac:dyDescent="0.2">
      <c r="A261" s="305">
        <v>67</v>
      </c>
      <c r="B261" s="485" t="s">
        <v>655</v>
      </c>
      <c r="C261" s="476" t="s">
        <v>3488</v>
      </c>
      <c r="D261" s="464"/>
      <c r="E261" s="465" t="s">
        <v>3461</v>
      </c>
      <c r="F261" s="466" t="s">
        <v>2890</v>
      </c>
      <c r="G261" s="464"/>
      <c r="H261" s="477">
        <v>44964</v>
      </c>
      <c r="I261" s="488">
        <f t="shared" ref="I261:I324" si="10">K261/1.11</f>
        <v>13844524.324324323</v>
      </c>
      <c r="J261" s="488">
        <f t="shared" ref="J261:J324" si="11">I261*11%</f>
        <v>1522897.6756756755</v>
      </c>
      <c r="K261" s="474">
        <f>3213432+8940560+3213430</f>
        <v>15367422</v>
      </c>
      <c r="L261" s="475"/>
    </row>
    <row r="262" spans="1:12" x14ac:dyDescent="0.2">
      <c r="A262" s="305">
        <v>68</v>
      </c>
      <c r="B262" s="469" t="s">
        <v>656</v>
      </c>
      <c r="C262" s="476" t="s">
        <v>3604</v>
      </c>
      <c r="D262" s="464"/>
      <c r="E262" s="465" t="s">
        <v>2993</v>
      </c>
      <c r="F262" s="466" t="s">
        <v>2994</v>
      </c>
      <c r="G262" s="464"/>
      <c r="H262" s="477">
        <v>44964</v>
      </c>
      <c r="I262" s="473">
        <f t="shared" si="10"/>
        <v>3719308.1081081079</v>
      </c>
      <c r="J262" s="473">
        <f t="shared" si="11"/>
        <v>409123.89189189189</v>
      </c>
      <c r="K262" s="474">
        <f>3213432+915000</f>
        <v>4128432</v>
      </c>
      <c r="L262" s="475"/>
    </row>
    <row r="263" spans="1:12" x14ac:dyDescent="0.2">
      <c r="A263" s="305">
        <v>69</v>
      </c>
      <c r="B263" s="485" t="s">
        <v>657</v>
      </c>
      <c r="C263" s="476" t="s">
        <v>3542</v>
      </c>
      <c r="D263" s="464"/>
      <c r="E263" s="465" t="s">
        <v>2934</v>
      </c>
      <c r="F263" s="466" t="s">
        <v>2935</v>
      </c>
      <c r="G263" s="464"/>
      <c r="H263" s="477">
        <v>44964</v>
      </c>
      <c r="I263" s="488">
        <f t="shared" si="10"/>
        <v>1733565.7657657657</v>
      </c>
      <c r="J263" s="488">
        <f t="shared" si="11"/>
        <v>190692.23423423423</v>
      </c>
      <c r="K263" s="474">
        <f>634068+1290190</f>
        <v>1924258</v>
      </c>
      <c r="L263" s="475"/>
    </row>
    <row r="264" spans="1:12" x14ac:dyDescent="0.2">
      <c r="A264" s="305">
        <v>70</v>
      </c>
      <c r="B264" s="469" t="s">
        <v>658</v>
      </c>
      <c r="C264" s="476" t="s">
        <v>3466</v>
      </c>
      <c r="D264" s="464"/>
      <c r="E264" s="465" t="s">
        <v>2881</v>
      </c>
      <c r="F264" s="466" t="s">
        <v>2808</v>
      </c>
      <c r="G264" s="464"/>
      <c r="H264" s="477">
        <v>44965</v>
      </c>
      <c r="I264" s="473">
        <f t="shared" si="10"/>
        <v>33725049.54954955</v>
      </c>
      <c r="J264" s="473">
        <f t="shared" si="11"/>
        <v>3709755.4504504506</v>
      </c>
      <c r="K264" s="474">
        <f>17504586+2548584+17381635</f>
        <v>37434805</v>
      </c>
      <c r="L264" s="475"/>
    </row>
    <row r="265" spans="1:12" x14ac:dyDescent="0.2">
      <c r="A265" s="305">
        <v>71</v>
      </c>
      <c r="B265" s="485" t="s">
        <v>659</v>
      </c>
      <c r="C265" s="476" t="s">
        <v>3462</v>
      </c>
      <c r="D265" s="464"/>
      <c r="E265" s="465" t="s">
        <v>5201</v>
      </c>
      <c r="F265" s="466" t="s">
        <v>3047</v>
      </c>
      <c r="G265" s="464"/>
      <c r="H265" s="477">
        <v>44965</v>
      </c>
      <c r="I265" s="488">
        <f t="shared" si="10"/>
        <v>3739354.0540540535</v>
      </c>
      <c r="J265" s="488">
        <f t="shared" si="11"/>
        <v>411328.94594594586</v>
      </c>
      <c r="K265" s="474">
        <f>2262843+1887840</f>
        <v>4150683</v>
      </c>
      <c r="L265" s="475"/>
    </row>
    <row r="266" spans="1:12" x14ac:dyDescent="0.2">
      <c r="A266" s="305">
        <v>72</v>
      </c>
      <c r="B266" s="469" t="s">
        <v>660</v>
      </c>
      <c r="C266" s="476" t="s">
        <v>3463</v>
      </c>
      <c r="D266" s="464"/>
      <c r="E266" s="465" t="s">
        <v>3046</v>
      </c>
      <c r="F266" s="466" t="s">
        <v>3047</v>
      </c>
      <c r="G266" s="464"/>
      <c r="H266" s="477">
        <v>44967</v>
      </c>
      <c r="I266" s="473">
        <f t="shared" si="10"/>
        <v>1863495.4954954954</v>
      </c>
      <c r="J266" s="473">
        <f t="shared" si="11"/>
        <v>204984.5045045045</v>
      </c>
      <c r="K266" s="474">
        <v>2068480</v>
      </c>
      <c r="L266" s="475"/>
    </row>
    <row r="267" spans="1:12" x14ac:dyDescent="0.2">
      <c r="A267" s="305">
        <v>73</v>
      </c>
      <c r="B267" s="485" t="s">
        <v>661</v>
      </c>
      <c r="C267" s="476" t="s">
        <v>3464</v>
      </c>
      <c r="D267" s="464"/>
      <c r="E267" s="471" t="s">
        <v>3035</v>
      </c>
      <c r="F267" s="471" t="s">
        <v>2890</v>
      </c>
      <c r="G267" s="464"/>
      <c r="H267" s="472">
        <v>44967</v>
      </c>
      <c r="I267" s="488">
        <f t="shared" si="10"/>
        <v>207972.97297297296</v>
      </c>
      <c r="J267" s="488">
        <f t="shared" si="11"/>
        <v>22877.027027027027</v>
      </c>
      <c r="K267" s="474">
        <v>230850</v>
      </c>
      <c r="L267" s="475"/>
    </row>
    <row r="268" spans="1:12" x14ac:dyDescent="0.2">
      <c r="A268" s="305">
        <v>74</v>
      </c>
      <c r="B268" s="469" t="s">
        <v>662</v>
      </c>
      <c r="C268" s="476" t="s">
        <v>3465</v>
      </c>
      <c r="D268" s="464"/>
      <c r="E268" s="465" t="s">
        <v>2990</v>
      </c>
      <c r="F268" s="466" t="s">
        <v>2987</v>
      </c>
      <c r="G268" s="464"/>
      <c r="H268" s="477">
        <v>44967</v>
      </c>
      <c r="I268" s="473">
        <f t="shared" si="10"/>
        <v>1564583.7837837837</v>
      </c>
      <c r="J268" s="473">
        <f t="shared" si="11"/>
        <v>172104.21621621621</v>
      </c>
      <c r="K268" s="474">
        <v>1736688</v>
      </c>
      <c r="L268" s="475"/>
    </row>
    <row r="269" spans="1:12" x14ac:dyDescent="0.2">
      <c r="A269" s="305">
        <v>75</v>
      </c>
      <c r="B269" s="485" t="s">
        <v>663</v>
      </c>
      <c r="C269" s="476" t="s">
        <v>3495</v>
      </c>
      <c r="D269" s="464"/>
      <c r="E269" s="465" t="s">
        <v>2996</v>
      </c>
      <c r="F269" s="466" t="s">
        <v>2785</v>
      </c>
      <c r="G269" s="464"/>
      <c r="H269" s="477">
        <v>44965</v>
      </c>
      <c r="I269" s="488">
        <f t="shared" si="10"/>
        <v>89835073.87387386</v>
      </c>
      <c r="J269" s="488">
        <f t="shared" si="11"/>
        <v>9881858.1261261255</v>
      </c>
      <c r="K269" s="474">
        <f>41251350+52666630+5798952</f>
        <v>99716932</v>
      </c>
      <c r="L269" s="475"/>
    </row>
    <row r="270" spans="1:12" x14ac:dyDescent="0.2">
      <c r="A270" s="305">
        <v>76</v>
      </c>
      <c r="B270" s="469" t="s">
        <v>664</v>
      </c>
      <c r="C270" s="476" t="s">
        <v>3558</v>
      </c>
      <c r="D270" s="464"/>
      <c r="E270" s="465" t="s">
        <v>2885</v>
      </c>
      <c r="F270" s="466" t="s">
        <v>2886</v>
      </c>
      <c r="G270" s="464"/>
      <c r="H270" s="477">
        <v>44971</v>
      </c>
      <c r="I270" s="473">
        <f t="shared" si="10"/>
        <v>12665549.549549548</v>
      </c>
      <c r="J270" s="473">
        <f t="shared" si="11"/>
        <v>1393210.4504504502</v>
      </c>
      <c r="K270" s="474">
        <f>5881030+2934870+5242860</f>
        <v>14058760</v>
      </c>
      <c r="L270" s="475"/>
    </row>
    <row r="271" spans="1:12" x14ac:dyDescent="0.2">
      <c r="A271" s="305">
        <v>77</v>
      </c>
      <c r="B271" s="485" t="s">
        <v>665</v>
      </c>
      <c r="C271" s="476" t="s">
        <v>3559</v>
      </c>
      <c r="D271" s="464"/>
      <c r="E271" s="465" t="s">
        <v>2907</v>
      </c>
      <c r="F271" s="466" t="s">
        <v>2926</v>
      </c>
      <c r="G271" s="464"/>
      <c r="H271" s="477">
        <v>44971</v>
      </c>
      <c r="I271" s="488">
        <f t="shared" si="10"/>
        <v>12589291.891891891</v>
      </c>
      <c r="J271" s="488">
        <f t="shared" si="11"/>
        <v>1384822.1081081079</v>
      </c>
      <c r="K271" s="474">
        <f>6546900+4496958+2930256</f>
        <v>13974114</v>
      </c>
      <c r="L271" s="475"/>
    </row>
    <row r="272" spans="1:12" x14ac:dyDescent="0.2">
      <c r="A272" s="305">
        <v>78</v>
      </c>
      <c r="B272" s="469" t="s">
        <v>666</v>
      </c>
      <c r="C272" s="476" t="s">
        <v>3597</v>
      </c>
      <c r="D272" s="464"/>
      <c r="E272" s="465" t="s">
        <v>2887</v>
      </c>
      <c r="F272" s="466" t="s">
        <v>2888</v>
      </c>
      <c r="G272" s="464"/>
      <c r="H272" s="477">
        <v>44941</v>
      </c>
      <c r="I272" s="473">
        <f t="shared" si="10"/>
        <v>12093054.054054054</v>
      </c>
      <c r="J272" s="473">
        <f t="shared" si="11"/>
        <v>1330235.9459459458</v>
      </c>
      <c r="K272" s="474">
        <f>6220770+7202520</f>
        <v>13423290</v>
      </c>
      <c r="L272" s="475"/>
    </row>
    <row r="273" spans="1:12" x14ac:dyDescent="0.2">
      <c r="A273" s="305">
        <v>79</v>
      </c>
      <c r="B273" s="485" t="s">
        <v>667</v>
      </c>
      <c r="C273" s="476" t="s">
        <v>3565</v>
      </c>
      <c r="D273" s="464"/>
      <c r="E273" s="465" t="s">
        <v>2911</v>
      </c>
      <c r="F273" s="466" t="s">
        <v>2912</v>
      </c>
      <c r="G273" s="464"/>
      <c r="H273" s="477">
        <v>44964</v>
      </c>
      <c r="I273" s="488">
        <f t="shared" si="10"/>
        <v>15646962.162162161</v>
      </c>
      <c r="J273" s="488">
        <f t="shared" si="11"/>
        <v>1721165.8378378376</v>
      </c>
      <c r="K273" s="474">
        <f>4801680+11286000+1280448</f>
        <v>17368128</v>
      </c>
      <c r="L273" s="475"/>
    </row>
    <row r="274" spans="1:12" x14ac:dyDescent="0.2">
      <c r="A274" s="305">
        <v>80</v>
      </c>
      <c r="B274" s="469" t="s">
        <v>668</v>
      </c>
      <c r="C274" s="476" t="s">
        <v>3470</v>
      </c>
      <c r="D274" s="464"/>
      <c r="E274" s="465" t="s">
        <v>3471</v>
      </c>
      <c r="F274" s="466" t="s">
        <v>3472</v>
      </c>
      <c r="G274" s="464"/>
      <c r="H274" s="477">
        <v>44965</v>
      </c>
      <c r="I274" s="473">
        <f t="shared" si="10"/>
        <v>682144.14414414414</v>
      </c>
      <c r="J274" s="473">
        <f t="shared" si="11"/>
        <v>75035.855855855858</v>
      </c>
      <c r="K274" s="474">
        <v>757180</v>
      </c>
      <c r="L274" s="475"/>
    </row>
    <row r="275" spans="1:12" x14ac:dyDescent="0.2">
      <c r="A275" s="305">
        <v>81</v>
      </c>
      <c r="B275" s="485" t="s">
        <v>669</v>
      </c>
      <c r="C275" s="476" t="s">
        <v>3482</v>
      </c>
      <c r="D275" s="464"/>
      <c r="E275" s="465" t="s">
        <v>2907</v>
      </c>
      <c r="F275" s="466" t="s">
        <v>2858</v>
      </c>
      <c r="G275" s="464"/>
      <c r="H275" s="477">
        <v>44966</v>
      </c>
      <c r="I275" s="488">
        <f t="shared" si="10"/>
        <v>64960279.279279277</v>
      </c>
      <c r="J275" s="488">
        <f t="shared" si="11"/>
        <v>7145630.7207207205</v>
      </c>
      <c r="K275" s="474">
        <f>35937360+21763510+14405040</f>
        <v>72105910</v>
      </c>
      <c r="L275" s="475"/>
    </row>
    <row r="276" spans="1:12" x14ac:dyDescent="0.2">
      <c r="A276" s="305">
        <v>82</v>
      </c>
      <c r="B276" s="469" t="s">
        <v>670</v>
      </c>
      <c r="C276" s="476" t="s">
        <v>3473</v>
      </c>
      <c r="D276" s="464"/>
      <c r="E276" s="465" t="s">
        <v>3474</v>
      </c>
      <c r="F276" s="466" t="s">
        <v>2755</v>
      </c>
      <c r="G276" s="464"/>
      <c r="H276" s="477">
        <v>44967</v>
      </c>
      <c r="I276" s="473">
        <f t="shared" si="10"/>
        <v>418918.91891891888</v>
      </c>
      <c r="J276" s="473">
        <f t="shared" si="11"/>
        <v>46081.08108108108</v>
      </c>
      <c r="K276" s="474">
        <v>465000</v>
      </c>
      <c r="L276" s="475"/>
    </row>
    <row r="277" spans="1:12" x14ac:dyDescent="0.2">
      <c r="A277" s="305">
        <v>83</v>
      </c>
      <c r="B277" s="485" t="s">
        <v>671</v>
      </c>
      <c r="C277" s="476" t="s">
        <v>3475</v>
      </c>
      <c r="D277" s="464"/>
      <c r="E277" s="465" t="s">
        <v>2927</v>
      </c>
      <c r="F277" s="466" t="s">
        <v>2928</v>
      </c>
      <c r="G277" s="464"/>
      <c r="H277" s="477">
        <v>44967</v>
      </c>
      <c r="I277" s="488">
        <f t="shared" si="10"/>
        <v>1441945.9459459458</v>
      </c>
      <c r="J277" s="488">
        <f t="shared" si="11"/>
        <v>158614.05405405405</v>
      </c>
      <c r="K277" s="474">
        <v>1600560</v>
      </c>
      <c r="L277" s="475"/>
    </row>
    <row r="278" spans="1:12" x14ac:dyDescent="0.2">
      <c r="A278" s="305">
        <v>84</v>
      </c>
      <c r="B278" s="469" t="s">
        <v>672</v>
      </c>
      <c r="C278" s="476" t="s">
        <v>3476</v>
      </c>
      <c r="D278" s="464"/>
      <c r="E278" s="471" t="s">
        <v>2878</v>
      </c>
      <c r="F278" s="471" t="s">
        <v>2879</v>
      </c>
      <c r="G278" s="464"/>
      <c r="H278" s="472">
        <v>44967</v>
      </c>
      <c r="I278" s="473">
        <f t="shared" si="10"/>
        <v>6684711.7117117113</v>
      </c>
      <c r="J278" s="473">
        <f t="shared" si="11"/>
        <v>735318.28828828828</v>
      </c>
      <c r="K278" s="474">
        <v>7420030</v>
      </c>
      <c r="L278" s="475"/>
    </row>
    <row r="279" spans="1:12" x14ac:dyDescent="0.2">
      <c r="A279" s="305">
        <v>85</v>
      </c>
      <c r="B279" s="485" t="s">
        <v>673</v>
      </c>
      <c r="C279" s="476" t="s">
        <v>3477</v>
      </c>
      <c r="D279" s="464"/>
      <c r="E279" s="471" t="s">
        <v>3040</v>
      </c>
      <c r="F279" s="471" t="s">
        <v>2886</v>
      </c>
      <c r="G279" s="464"/>
      <c r="H279" s="472">
        <v>44967</v>
      </c>
      <c r="I279" s="488">
        <f t="shared" si="10"/>
        <v>720972.9729729729</v>
      </c>
      <c r="J279" s="488">
        <f t="shared" si="11"/>
        <v>79307.027027027027</v>
      </c>
      <c r="K279" s="474">
        <v>800280</v>
      </c>
      <c r="L279" s="475"/>
    </row>
    <row r="280" spans="1:12" x14ac:dyDescent="0.2">
      <c r="A280" s="305">
        <v>86</v>
      </c>
      <c r="B280" s="469" t="s">
        <v>674</v>
      </c>
      <c r="C280" s="476" t="s">
        <v>3496</v>
      </c>
      <c r="D280" s="464"/>
      <c r="E280" s="465" t="s">
        <v>2933</v>
      </c>
      <c r="F280" s="466" t="s">
        <v>2823</v>
      </c>
      <c r="G280" s="464"/>
      <c r="H280" s="477">
        <v>44967</v>
      </c>
      <c r="I280" s="473">
        <f t="shared" si="10"/>
        <v>17116758.558558557</v>
      </c>
      <c r="J280" s="473">
        <f t="shared" si="11"/>
        <v>1882843.4414414412</v>
      </c>
      <c r="K280" s="474">
        <f>10224490+8015112+760000</f>
        <v>18999602</v>
      </c>
      <c r="L280" s="475"/>
    </row>
    <row r="281" spans="1:12" x14ac:dyDescent="0.2">
      <c r="A281" s="305">
        <v>87</v>
      </c>
      <c r="B281" s="485" t="s">
        <v>675</v>
      </c>
      <c r="C281" s="476" t="s">
        <v>3563</v>
      </c>
      <c r="D281" s="464"/>
      <c r="E281" s="465" t="s">
        <v>3030</v>
      </c>
      <c r="F281" s="466" t="s">
        <v>2892</v>
      </c>
      <c r="G281" s="464"/>
      <c r="H281" s="477">
        <v>44971</v>
      </c>
      <c r="I281" s="488">
        <f t="shared" si="10"/>
        <v>8240351.3513513505</v>
      </c>
      <c r="J281" s="488">
        <f t="shared" si="11"/>
        <v>906438.64864864852</v>
      </c>
      <c r="K281" s="474">
        <f>5201820+3944970</f>
        <v>9146790</v>
      </c>
      <c r="L281" s="475"/>
    </row>
    <row r="282" spans="1:12" x14ac:dyDescent="0.2">
      <c r="A282" s="305">
        <v>88</v>
      </c>
      <c r="B282" s="469" t="s">
        <v>676</v>
      </c>
      <c r="C282" s="476" t="s">
        <v>3514</v>
      </c>
      <c r="D282" s="464"/>
      <c r="E282" s="465" t="s">
        <v>2939</v>
      </c>
      <c r="F282" s="466" t="s">
        <v>2940</v>
      </c>
      <c r="G282" s="464"/>
      <c r="H282" s="477">
        <v>44970</v>
      </c>
      <c r="I282" s="473">
        <f t="shared" si="10"/>
        <v>6907009.0090090083</v>
      </c>
      <c r="J282" s="473">
        <f t="shared" si="11"/>
        <v>759770.99099099089</v>
      </c>
      <c r="K282" s="474">
        <f>718200+5922580+1026000</f>
        <v>7666780</v>
      </c>
      <c r="L282" s="475"/>
    </row>
    <row r="283" spans="1:12" x14ac:dyDescent="0.2">
      <c r="A283" s="305">
        <v>89</v>
      </c>
      <c r="B283" s="485" t="s">
        <v>677</v>
      </c>
      <c r="C283" s="476" t="s">
        <v>3478</v>
      </c>
      <c r="D283" s="464"/>
      <c r="E283" s="465" t="s">
        <v>2968</v>
      </c>
      <c r="F283" s="466" t="s">
        <v>2969</v>
      </c>
      <c r="G283" s="464"/>
      <c r="H283" s="477">
        <v>44970</v>
      </c>
      <c r="I283" s="488">
        <f t="shared" si="10"/>
        <v>6155999.9999999991</v>
      </c>
      <c r="J283" s="488">
        <f t="shared" si="11"/>
        <v>677159.99999999988</v>
      </c>
      <c r="K283" s="474">
        <v>6833160</v>
      </c>
      <c r="L283" s="475"/>
    </row>
    <row r="284" spans="1:12" x14ac:dyDescent="0.2">
      <c r="A284" s="305">
        <v>90</v>
      </c>
      <c r="B284" s="469" t="s">
        <v>678</v>
      </c>
      <c r="C284" s="476" t="s">
        <v>3479</v>
      </c>
      <c r="D284" s="464"/>
      <c r="E284" s="465" t="s">
        <v>2897</v>
      </c>
      <c r="F284" s="466" t="s">
        <v>2879</v>
      </c>
      <c r="G284" s="464"/>
      <c r="H284" s="477">
        <v>44970</v>
      </c>
      <c r="I284" s="473">
        <f t="shared" si="10"/>
        <v>339639.63963963959</v>
      </c>
      <c r="J284" s="473">
        <f t="shared" si="11"/>
        <v>37360.360360360355</v>
      </c>
      <c r="K284" s="474">
        <v>377000</v>
      </c>
      <c r="L284" s="475"/>
    </row>
    <row r="285" spans="1:12" x14ac:dyDescent="0.2">
      <c r="A285" s="305">
        <v>91</v>
      </c>
      <c r="B285" s="485" t="s">
        <v>679</v>
      </c>
      <c r="C285" s="476" t="s">
        <v>3584</v>
      </c>
      <c r="D285" s="464"/>
      <c r="E285" s="465" t="s">
        <v>3014</v>
      </c>
      <c r="F285" s="466" t="s">
        <v>3006</v>
      </c>
      <c r="G285" s="464"/>
      <c r="H285" s="477">
        <v>44971</v>
      </c>
      <c r="I285" s="488">
        <f t="shared" si="10"/>
        <v>5353679.2792792786</v>
      </c>
      <c r="J285" s="488">
        <f t="shared" si="11"/>
        <v>588904.72072072059</v>
      </c>
      <c r="K285" s="474">
        <f>2193580+424764+3324240</f>
        <v>5942584</v>
      </c>
      <c r="L285" s="475"/>
    </row>
    <row r="286" spans="1:12" x14ac:dyDescent="0.2">
      <c r="A286" s="305">
        <v>92</v>
      </c>
      <c r="B286" s="469" t="s">
        <v>680</v>
      </c>
      <c r="C286" s="476" t="s">
        <v>3480</v>
      </c>
      <c r="D286" s="464"/>
      <c r="E286" s="465" t="s">
        <v>2881</v>
      </c>
      <c r="F286" s="466" t="s">
        <v>2882</v>
      </c>
      <c r="G286" s="464"/>
      <c r="H286" s="477">
        <v>44970</v>
      </c>
      <c r="I286" s="473">
        <f t="shared" si="10"/>
        <v>2828747.7477477477</v>
      </c>
      <c r="J286" s="473">
        <f t="shared" si="11"/>
        <v>311162.25225225225</v>
      </c>
      <c r="K286" s="474">
        <v>3139910</v>
      </c>
      <c r="L286" s="475"/>
    </row>
    <row r="287" spans="1:12" x14ac:dyDescent="0.2">
      <c r="A287" s="305">
        <v>93</v>
      </c>
      <c r="B287" s="485" t="s">
        <v>681</v>
      </c>
      <c r="C287" s="476" t="s">
        <v>3481</v>
      </c>
      <c r="D287" s="464"/>
      <c r="E287" s="465" t="s">
        <v>2889</v>
      </c>
      <c r="F287" s="466" t="s">
        <v>2808</v>
      </c>
      <c r="G287" s="464"/>
      <c r="H287" s="477">
        <v>44971</v>
      </c>
      <c r="I287" s="488">
        <f t="shared" si="10"/>
        <v>6888063.0630630627</v>
      </c>
      <c r="J287" s="488">
        <f t="shared" si="11"/>
        <v>757686.93693693692</v>
      </c>
      <c r="K287" s="474">
        <v>7645750</v>
      </c>
      <c r="L287" s="475"/>
    </row>
    <row r="288" spans="1:12" x14ac:dyDescent="0.2">
      <c r="A288" s="305">
        <v>94</v>
      </c>
      <c r="B288" s="469" t="s">
        <v>682</v>
      </c>
      <c r="C288" s="476" t="s">
        <v>3548</v>
      </c>
      <c r="D288" s="464"/>
      <c r="E288" s="465" t="s">
        <v>2893</v>
      </c>
      <c r="F288" s="466" t="s">
        <v>2890</v>
      </c>
      <c r="G288" s="464"/>
      <c r="H288" s="477">
        <v>44971</v>
      </c>
      <c r="I288" s="473">
        <f t="shared" si="10"/>
        <v>15524947.747747747</v>
      </c>
      <c r="J288" s="473">
        <f t="shared" si="11"/>
        <v>1707744.2522522523</v>
      </c>
      <c r="K288" s="474">
        <f>11043860+1313280+4875552</f>
        <v>17232692</v>
      </c>
      <c r="L288" s="475"/>
    </row>
    <row r="289" spans="1:12" x14ac:dyDescent="0.2">
      <c r="A289" s="305">
        <v>95</v>
      </c>
      <c r="B289" s="485" t="s">
        <v>683</v>
      </c>
      <c r="C289" s="476" t="s">
        <v>3483</v>
      </c>
      <c r="D289" s="464"/>
      <c r="E289" s="465" t="s">
        <v>2950</v>
      </c>
      <c r="F289" s="466" t="s">
        <v>2951</v>
      </c>
      <c r="G289" s="464"/>
      <c r="H289" s="477">
        <v>44971</v>
      </c>
      <c r="I289" s="488">
        <f t="shared" si="10"/>
        <v>1624801.8018018017</v>
      </c>
      <c r="J289" s="488">
        <f t="shared" si="11"/>
        <v>178728.1981981982</v>
      </c>
      <c r="K289" s="474">
        <v>1803530</v>
      </c>
      <c r="L289" s="475"/>
    </row>
    <row r="290" spans="1:12" x14ac:dyDescent="0.2">
      <c r="A290" s="305">
        <v>96</v>
      </c>
      <c r="B290" s="469" t="s">
        <v>684</v>
      </c>
      <c r="C290" s="480" t="s">
        <v>3484</v>
      </c>
      <c r="D290" s="481"/>
      <c r="E290" s="482" t="s">
        <v>3485</v>
      </c>
      <c r="F290" s="483" t="s">
        <v>2912</v>
      </c>
      <c r="G290" s="513"/>
      <c r="H290" s="484">
        <v>44972</v>
      </c>
      <c r="I290" s="473">
        <f t="shared" si="10"/>
        <v>648648.64864864864</v>
      </c>
      <c r="J290" s="473">
        <f t="shared" si="11"/>
        <v>71351.351351351346</v>
      </c>
      <c r="K290" s="474">
        <v>720000</v>
      </c>
      <c r="L290" s="475"/>
    </row>
    <row r="291" spans="1:12" x14ac:dyDescent="0.2">
      <c r="A291" s="305">
        <v>97</v>
      </c>
      <c r="B291" s="485" t="s">
        <v>685</v>
      </c>
      <c r="C291" s="476" t="s">
        <v>3601</v>
      </c>
      <c r="D291" s="464"/>
      <c r="E291" s="471" t="s">
        <v>3085</v>
      </c>
      <c r="F291" s="471" t="s">
        <v>2982</v>
      </c>
      <c r="G291" s="464"/>
      <c r="H291" s="477">
        <v>44972</v>
      </c>
      <c r="I291" s="488">
        <f t="shared" si="10"/>
        <v>2661126.1261261259</v>
      </c>
      <c r="J291" s="488">
        <f t="shared" si="11"/>
        <v>292723.87387387385</v>
      </c>
      <c r="K291" s="474">
        <f>2548580+405270</f>
        <v>2953850</v>
      </c>
      <c r="L291" s="475"/>
    </row>
    <row r="292" spans="1:12" x14ac:dyDescent="0.2">
      <c r="A292" s="305">
        <v>98</v>
      </c>
      <c r="B292" s="469" t="s">
        <v>686</v>
      </c>
      <c r="C292" s="476" t="s">
        <v>3603</v>
      </c>
      <c r="D292" s="464"/>
      <c r="E292" s="465" t="s">
        <v>3486</v>
      </c>
      <c r="F292" s="466" t="s">
        <v>2994</v>
      </c>
      <c r="G292" s="464"/>
      <c r="H292" s="477">
        <v>44972</v>
      </c>
      <c r="I292" s="473">
        <f t="shared" si="10"/>
        <v>9621288.2882882878</v>
      </c>
      <c r="J292" s="473">
        <f t="shared" si="11"/>
        <v>1058341.7117117117</v>
      </c>
      <c r="K292" s="474">
        <f>7350260+1410750+1918620</f>
        <v>10679630</v>
      </c>
      <c r="L292" s="475"/>
    </row>
    <row r="293" spans="1:12" x14ac:dyDescent="0.2">
      <c r="A293" s="305">
        <v>99</v>
      </c>
      <c r="B293" s="485" t="s">
        <v>687</v>
      </c>
      <c r="C293" s="476" t="s">
        <v>3487</v>
      </c>
      <c r="D293" s="464"/>
      <c r="E293" s="465" t="s">
        <v>2895</v>
      </c>
      <c r="F293" s="466" t="s">
        <v>2890</v>
      </c>
      <c r="G293" s="464"/>
      <c r="H293" s="477">
        <v>44973</v>
      </c>
      <c r="I293" s="488">
        <f t="shared" si="10"/>
        <v>5170207.2072072066</v>
      </c>
      <c r="J293" s="488">
        <f t="shared" si="11"/>
        <v>568722.79279279278</v>
      </c>
      <c r="K293" s="474">
        <v>5738930</v>
      </c>
      <c r="L293" s="475"/>
    </row>
    <row r="294" spans="1:12" x14ac:dyDescent="0.2">
      <c r="A294" s="305">
        <v>100</v>
      </c>
      <c r="B294" s="469" t="s">
        <v>688</v>
      </c>
      <c r="C294" s="476" t="s">
        <v>3489</v>
      </c>
      <c r="D294" s="464"/>
      <c r="E294" s="465" t="s">
        <v>3087</v>
      </c>
      <c r="F294" s="466" t="s">
        <v>2892</v>
      </c>
      <c r="G294" s="464"/>
      <c r="H294" s="477">
        <v>44974</v>
      </c>
      <c r="I294" s="473">
        <f t="shared" si="10"/>
        <v>656733.33333333326</v>
      </c>
      <c r="J294" s="473">
        <f t="shared" si="11"/>
        <v>72240.666666666657</v>
      </c>
      <c r="K294" s="474">
        <v>728974</v>
      </c>
      <c r="L294" s="475"/>
    </row>
    <row r="295" spans="1:12" x14ac:dyDescent="0.2">
      <c r="A295" s="305">
        <v>101</v>
      </c>
      <c r="B295" s="485" t="s">
        <v>689</v>
      </c>
      <c r="C295" s="476" t="s">
        <v>3543</v>
      </c>
      <c r="D295" s="464"/>
      <c r="E295" s="465" t="s">
        <v>3122</v>
      </c>
      <c r="F295" s="466" t="s">
        <v>2946</v>
      </c>
      <c r="G295" s="464"/>
      <c r="H295" s="477">
        <v>44974</v>
      </c>
      <c r="I295" s="488">
        <f t="shared" si="10"/>
        <v>2832313.5135135134</v>
      </c>
      <c r="J295" s="488">
        <f t="shared" si="11"/>
        <v>311554.48648648645</v>
      </c>
      <c r="K295" s="474">
        <f>1052676+1582296+508896</f>
        <v>3143868</v>
      </c>
      <c r="L295" s="475"/>
    </row>
    <row r="296" spans="1:12" x14ac:dyDescent="0.2">
      <c r="A296" s="305">
        <v>102</v>
      </c>
      <c r="B296" s="469" t="s">
        <v>690</v>
      </c>
      <c r="C296" s="476" t="s">
        <v>3490</v>
      </c>
      <c r="D296" s="464"/>
      <c r="E296" s="465" t="s">
        <v>3491</v>
      </c>
      <c r="F296" s="466" t="s">
        <v>3492</v>
      </c>
      <c r="G296" s="464"/>
      <c r="H296" s="477">
        <v>44978</v>
      </c>
      <c r="I296" s="473">
        <f t="shared" si="10"/>
        <v>547657.65765765763</v>
      </c>
      <c r="J296" s="473">
        <f t="shared" si="11"/>
        <v>60242.342342342337</v>
      </c>
      <c r="K296" s="474">
        <v>607900</v>
      </c>
      <c r="L296" s="475"/>
    </row>
    <row r="297" spans="1:12" x14ac:dyDescent="0.2">
      <c r="A297" s="305">
        <v>103</v>
      </c>
      <c r="B297" s="485" t="s">
        <v>691</v>
      </c>
      <c r="C297" s="476" t="s">
        <v>3493</v>
      </c>
      <c r="D297" s="464"/>
      <c r="E297" s="465" t="s">
        <v>3494</v>
      </c>
      <c r="F297" s="466" t="s">
        <v>2912</v>
      </c>
      <c r="G297" s="464"/>
      <c r="H297" s="477">
        <v>44977</v>
      </c>
      <c r="I297" s="488">
        <f t="shared" si="10"/>
        <v>3158108.1081081079</v>
      </c>
      <c r="J297" s="488">
        <f t="shared" si="11"/>
        <v>347391.89189189189</v>
      </c>
      <c r="K297" s="474">
        <v>3505500</v>
      </c>
      <c r="L297" s="475"/>
    </row>
    <row r="298" spans="1:12" x14ac:dyDescent="0.2">
      <c r="A298" s="305">
        <v>104</v>
      </c>
      <c r="B298" s="469" t="s">
        <v>692</v>
      </c>
      <c r="C298" s="476" t="s">
        <v>3499</v>
      </c>
      <c r="D298" s="464"/>
      <c r="E298" s="465" t="s">
        <v>2898</v>
      </c>
      <c r="F298" s="466" t="s">
        <v>2823</v>
      </c>
      <c r="G298" s="464"/>
      <c r="H298" s="477">
        <v>44966</v>
      </c>
      <c r="I298" s="473">
        <f t="shared" si="10"/>
        <v>42251466.666666664</v>
      </c>
      <c r="J298" s="473">
        <f t="shared" si="11"/>
        <v>4647661.333333333</v>
      </c>
      <c r="K298" s="474">
        <f>18296900+27223285+1378943</f>
        <v>46899128</v>
      </c>
      <c r="L298" s="475"/>
    </row>
    <row r="299" spans="1:12" x14ac:dyDescent="0.2">
      <c r="A299" s="305">
        <v>105</v>
      </c>
      <c r="B299" s="485" t="s">
        <v>693</v>
      </c>
      <c r="C299" s="476" t="s">
        <v>3507</v>
      </c>
      <c r="D299" s="464"/>
      <c r="E299" s="465" t="s">
        <v>3011</v>
      </c>
      <c r="F299" s="466" t="s">
        <v>2823</v>
      </c>
      <c r="G299" s="464"/>
      <c r="H299" s="477">
        <v>44967</v>
      </c>
      <c r="I299" s="488">
        <f t="shared" si="10"/>
        <v>16191850.450450448</v>
      </c>
      <c r="J299" s="488">
        <f t="shared" si="11"/>
        <v>1781103.5495495494</v>
      </c>
      <c r="K299" s="474">
        <f>11367054+3113396+3492504</f>
        <v>17972954</v>
      </c>
      <c r="L299" s="475"/>
    </row>
    <row r="300" spans="1:12" x14ac:dyDescent="0.2">
      <c r="A300" s="305">
        <v>106</v>
      </c>
      <c r="B300" s="469" t="s">
        <v>694</v>
      </c>
      <c r="C300" s="476" t="s">
        <v>3509</v>
      </c>
      <c r="D300" s="464"/>
      <c r="E300" s="465" t="s">
        <v>2937</v>
      </c>
      <c r="F300" s="466" t="s">
        <v>2823</v>
      </c>
      <c r="G300" s="464"/>
      <c r="H300" s="477">
        <v>44978</v>
      </c>
      <c r="I300" s="473">
        <f t="shared" si="10"/>
        <v>17680167.567567565</v>
      </c>
      <c r="J300" s="473">
        <f t="shared" si="11"/>
        <v>1944818.4324324322</v>
      </c>
      <c r="K300" s="474">
        <f>6264756+5878980+7481250</f>
        <v>19624986</v>
      </c>
      <c r="L300" s="475"/>
    </row>
    <row r="301" spans="1:12" x14ac:dyDescent="0.2">
      <c r="A301" s="305">
        <v>107</v>
      </c>
      <c r="B301" s="485" t="s">
        <v>695</v>
      </c>
      <c r="C301" s="480" t="s">
        <v>3505</v>
      </c>
      <c r="D301" s="481"/>
      <c r="E301" s="482" t="s">
        <v>2933</v>
      </c>
      <c r="F301" s="483" t="s">
        <v>2823</v>
      </c>
      <c r="G301" s="513"/>
      <c r="H301" s="484">
        <v>44978</v>
      </c>
      <c r="I301" s="488">
        <f t="shared" si="10"/>
        <v>7226709.9099099096</v>
      </c>
      <c r="J301" s="488">
        <f t="shared" si="11"/>
        <v>794938.09009009006</v>
      </c>
      <c r="K301" s="474">
        <f>7641648+380000</f>
        <v>8021648</v>
      </c>
      <c r="L301" s="475"/>
    </row>
    <row r="302" spans="1:12" x14ac:dyDescent="0.2">
      <c r="A302" s="305">
        <v>108</v>
      </c>
      <c r="B302" s="469" t="s">
        <v>696</v>
      </c>
      <c r="C302" s="476" t="s">
        <v>3503</v>
      </c>
      <c r="D302" s="464"/>
      <c r="E302" s="471" t="s">
        <v>2898</v>
      </c>
      <c r="F302" s="471" t="s">
        <v>2823</v>
      </c>
      <c r="G302" s="464"/>
      <c r="H302" s="477">
        <v>44967</v>
      </c>
      <c r="I302" s="473">
        <f t="shared" si="10"/>
        <v>16397050.450450448</v>
      </c>
      <c r="J302" s="473">
        <f t="shared" si="11"/>
        <v>1803675.5495495494</v>
      </c>
      <c r="K302" s="474">
        <f>4801680+13399046</f>
        <v>18200726</v>
      </c>
      <c r="L302" s="475"/>
    </row>
    <row r="303" spans="1:12" x14ac:dyDescent="0.2">
      <c r="A303" s="305">
        <v>109</v>
      </c>
      <c r="B303" s="485" t="s">
        <v>697</v>
      </c>
      <c r="C303" s="476" t="s">
        <v>3569</v>
      </c>
      <c r="D303" s="464"/>
      <c r="E303" s="465" t="s">
        <v>2936</v>
      </c>
      <c r="F303" s="466" t="s">
        <v>2922</v>
      </c>
      <c r="G303" s="464"/>
      <c r="H303" s="477">
        <v>44971</v>
      </c>
      <c r="I303" s="488">
        <f t="shared" si="10"/>
        <v>11920697.297297297</v>
      </c>
      <c r="J303" s="488">
        <f t="shared" si="11"/>
        <v>1311276.7027027027</v>
      </c>
      <c r="K303" s="474">
        <f>5808180+889200+6534594</f>
        <v>13231974</v>
      </c>
      <c r="L303" s="475"/>
    </row>
    <row r="304" spans="1:12" x14ac:dyDescent="0.2">
      <c r="A304" s="305">
        <v>110</v>
      </c>
      <c r="B304" s="469" t="s">
        <v>698</v>
      </c>
      <c r="C304" s="476" t="s">
        <v>3566</v>
      </c>
      <c r="D304" s="464"/>
      <c r="E304" s="465" t="s">
        <v>2894</v>
      </c>
      <c r="F304" s="466" t="s">
        <v>2851</v>
      </c>
      <c r="G304" s="464"/>
      <c r="H304" s="477">
        <v>44971</v>
      </c>
      <c r="I304" s="473">
        <f t="shared" si="10"/>
        <v>36500643.24324324</v>
      </c>
      <c r="J304" s="473">
        <f t="shared" si="11"/>
        <v>4015070.7567567565</v>
      </c>
      <c r="K304" s="474">
        <f>4801680+25685910+10028124</f>
        <v>40515714</v>
      </c>
      <c r="L304" s="475"/>
    </row>
    <row r="305" spans="1:12" x14ac:dyDescent="0.2">
      <c r="A305" s="305">
        <v>111</v>
      </c>
      <c r="B305" s="485" t="s">
        <v>699</v>
      </c>
      <c r="C305" s="476" t="s">
        <v>3578</v>
      </c>
      <c r="D305" s="464"/>
      <c r="E305" s="465" t="s">
        <v>2883</v>
      </c>
      <c r="F305" s="466" t="s">
        <v>2884</v>
      </c>
      <c r="G305" s="464"/>
      <c r="H305" s="477">
        <v>44972</v>
      </c>
      <c r="I305" s="488">
        <f t="shared" si="10"/>
        <v>6006259.4594594585</v>
      </c>
      <c r="J305" s="488">
        <f t="shared" si="11"/>
        <v>660688.54054054047</v>
      </c>
      <c r="K305" s="474">
        <f>3342708+3324240</f>
        <v>6666948</v>
      </c>
      <c r="L305" s="475"/>
    </row>
    <row r="306" spans="1:12" x14ac:dyDescent="0.2">
      <c r="A306" s="305">
        <v>112</v>
      </c>
      <c r="B306" s="469" t="s">
        <v>700</v>
      </c>
      <c r="C306" s="476" t="s">
        <v>3576</v>
      </c>
      <c r="D306" s="464"/>
      <c r="E306" s="465" t="s">
        <v>2907</v>
      </c>
      <c r="F306" s="466" t="s">
        <v>2908</v>
      </c>
      <c r="G306" s="464"/>
      <c r="H306" s="477">
        <v>44977</v>
      </c>
      <c r="I306" s="473">
        <f t="shared" si="10"/>
        <v>4794367.5675675673</v>
      </c>
      <c r="J306" s="473">
        <f t="shared" si="11"/>
        <v>527380.43243243243</v>
      </c>
      <c r="K306" s="474">
        <f>2292740+1627236+1401772</f>
        <v>5321748</v>
      </c>
      <c r="L306" s="475"/>
    </row>
    <row r="307" spans="1:12" x14ac:dyDescent="0.2">
      <c r="A307" s="305">
        <v>113</v>
      </c>
      <c r="B307" s="485" t="s">
        <v>701</v>
      </c>
      <c r="C307" s="476" t="s">
        <v>3504</v>
      </c>
      <c r="D307" s="464"/>
      <c r="E307" s="465" t="s">
        <v>2958</v>
      </c>
      <c r="F307" s="466" t="s">
        <v>2823</v>
      </c>
      <c r="G307" s="464"/>
      <c r="H307" s="477">
        <v>44980</v>
      </c>
      <c r="I307" s="488">
        <f t="shared" si="10"/>
        <v>1232432.4324324324</v>
      </c>
      <c r="J307" s="488">
        <f t="shared" si="11"/>
        <v>135567.56756756757</v>
      </c>
      <c r="K307" s="474">
        <v>1368000</v>
      </c>
      <c r="L307" s="475"/>
    </row>
    <row r="308" spans="1:12" x14ac:dyDescent="0.2">
      <c r="A308" s="305">
        <v>114</v>
      </c>
      <c r="B308" s="469" t="s">
        <v>702</v>
      </c>
      <c r="C308" s="476" t="s">
        <v>3506</v>
      </c>
      <c r="D308" s="464"/>
      <c r="E308" s="465" t="s">
        <v>2900</v>
      </c>
      <c r="F308" s="466" t="s">
        <v>2823</v>
      </c>
      <c r="G308" s="464"/>
      <c r="H308" s="477">
        <v>44981</v>
      </c>
      <c r="I308" s="473">
        <f t="shared" si="10"/>
        <v>12457117.117117116</v>
      </c>
      <c r="J308" s="473">
        <f t="shared" si="11"/>
        <v>1370282.8828828828</v>
      </c>
      <c r="K308" s="474">
        <f>6436098+7391302</f>
        <v>13827400</v>
      </c>
      <c r="L308" s="475"/>
    </row>
    <row r="309" spans="1:12" x14ac:dyDescent="0.2">
      <c r="A309" s="305">
        <v>115</v>
      </c>
      <c r="B309" s="485" t="s">
        <v>703</v>
      </c>
      <c r="C309" s="476" t="s">
        <v>3510</v>
      </c>
      <c r="D309" s="464"/>
      <c r="E309" s="465" t="s">
        <v>3511</v>
      </c>
      <c r="F309" s="466" t="s">
        <v>3512</v>
      </c>
      <c r="G309" s="464"/>
      <c r="H309" s="477">
        <v>44973</v>
      </c>
      <c r="I309" s="488">
        <f t="shared" si="10"/>
        <v>5145729.7297297297</v>
      </c>
      <c r="J309" s="488">
        <f t="shared" si="11"/>
        <v>566030.2702702703</v>
      </c>
      <c r="K309" s="474">
        <v>5711760</v>
      </c>
      <c r="L309" s="475"/>
    </row>
    <row r="310" spans="1:12" x14ac:dyDescent="0.2">
      <c r="A310" s="305">
        <v>116</v>
      </c>
      <c r="B310" s="469" t="s">
        <v>704</v>
      </c>
      <c r="C310" s="476" t="s">
        <v>3571</v>
      </c>
      <c r="D310" s="464"/>
      <c r="E310" s="465" t="s">
        <v>2914</v>
      </c>
      <c r="F310" s="466" t="s">
        <v>2915</v>
      </c>
      <c r="G310" s="464"/>
      <c r="H310" s="477">
        <v>44973</v>
      </c>
      <c r="I310" s="473">
        <f t="shared" si="10"/>
        <v>2488276.5765765766</v>
      </c>
      <c r="J310" s="473">
        <f t="shared" si="11"/>
        <v>273710.42342342343</v>
      </c>
      <c r="K310" s="474">
        <f>1792930+566352+402705</f>
        <v>2761987</v>
      </c>
      <c r="L310" s="475"/>
    </row>
    <row r="311" spans="1:12" x14ac:dyDescent="0.2">
      <c r="A311" s="305">
        <v>117</v>
      </c>
      <c r="B311" s="485" t="s">
        <v>705</v>
      </c>
      <c r="C311" s="476" t="s">
        <v>3515</v>
      </c>
      <c r="D311" s="464"/>
      <c r="E311" s="465" t="s">
        <v>3516</v>
      </c>
      <c r="F311" s="466" t="s">
        <v>2858</v>
      </c>
      <c r="G311" s="464"/>
      <c r="H311" s="477">
        <v>44973</v>
      </c>
      <c r="I311" s="488">
        <f t="shared" si="10"/>
        <v>961297.29729729716</v>
      </c>
      <c r="J311" s="488">
        <f t="shared" si="11"/>
        <v>105742.70270270269</v>
      </c>
      <c r="K311" s="474">
        <v>1067040</v>
      </c>
      <c r="L311" s="475"/>
    </row>
    <row r="312" spans="1:12" x14ac:dyDescent="0.2">
      <c r="A312" s="305">
        <v>118</v>
      </c>
      <c r="B312" s="469" t="s">
        <v>706</v>
      </c>
      <c r="C312" s="480" t="s">
        <v>3521</v>
      </c>
      <c r="D312" s="481"/>
      <c r="E312" s="482" t="s">
        <v>3517</v>
      </c>
      <c r="F312" s="483" t="s">
        <v>2912</v>
      </c>
      <c r="G312" s="513"/>
      <c r="H312" s="484">
        <v>44973</v>
      </c>
      <c r="I312" s="473">
        <f t="shared" si="10"/>
        <v>14560738.738738738</v>
      </c>
      <c r="J312" s="473">
        <f t="shared" si="11"/>
        <v>1601681.2612612613</v>
      </c>
      <c r="K312" s="474">
        <f>15612420+550000</f>
        <v>16162420</v>
      </c>
      <c r="L312" s="475"/>
    </row>
    <row r="313" spans="1:12" x14ac:dyDescent="0.2">
      <c r="A313" s="305">
        <v>119</v>
      </c>
      <c r="B313" s="485" t="s">
        <v>707</v>
      </c>
      <c r="C313" s="476" t="s">
        <v>3518</v>
      </c>
      <c r="D313" s="464"/>
      <c r="E313" s="471" t="s">
        <v>2907</v>
      </c>
      <c r="F313" s="471" t="s">
        <v>3092</v>
      </c>
      <c r="G313" s="464"/>
      <c r="H313" s="477">
        <v>44973</v>
      </c>
      <c r="I313" s="488">
        <f t="shared" si="10"/>
        <v>1072216.2162162161</v>
      </c>
      <c r="J313" s="488">
        <f t="shared" si="11"/>
        <v>117943.78378378377</v>
      </c>
      <c r="K313" s="474">
        <v>1190160</v>
      </c>
      <c r="L313" s="475"/>
    </row>
    <row r="314" spans="1:12" x14ac:dyDescent="0.2">
      <c r="A314" s="305">
        <v>120</v>
      </c>
      <c r="B314" s="469" t="s">
        <v>708</v>
      </c>
      <c r="C314" s="476" t="s">
        <v>3519</v>
      </c>
      <c r="D314" s="464"/>
      <c r="E314" s="465" t="s">
        <v>3520</v>
      </c>
      <c r="F314" s="466" t="s">
        <v>2858</v>
      </c>
      <c r="G314" s="464"/>
      <c r="H314" s="477">
        <v>44973</v>
      </c>
      <c r="I314" s="473">
        <f t="shared" si="10"/>
        <v>743846.84684684675</v>
      </c>
      <c r="J314" s="473">
        <f t="shared" si="11"/>
        <v>81823.153153153136</v>
      </c>
      <c r="K314" s="474">
        <v>825670</v>
      </c>
      <c r="L314" s="475"/>
    </row>
    <row r="315" spans="1:12" x14ac:dyDescent="0.2">
      <c r="A315" s="305">
        <v>121</v>
      </c>
      <c r="B315" s="485" t="s">
        <v>709</v>
      </c>
      <c r="C315" s="476" t="s">
        <v>3570</v>
      </c>
      <c r="D315" s="464"/>
      <c r="E315" s="465" t="s">
        <v>2910</v>
      </c>
      <c r="F315" s="466" t="s">
        <v>2851</v>
      </c>
      <c r="G315" s="464"/>
      <c r="H315" s="477">
        <v>44974</v>
      </c>
      <c r="I315" s="488">
        <f t="shared" si="10"/>
        <v>2463437.8378378376</v>
      </c>
      <c r="J315" s="488">
        <f t="shared" si="11"/>
        <v>270978.16216216213</v>
      </c>
      <c r="K315" s="474">
        <f>2068416+666000</f>
        <v>2734416</v>
      </c>
      <c r="L315" s="475"/>
    </row>
    <row r="316" spans="1:12" x14ac:dyDescent="0.2">
      <c r="A316" s="305">
        <v>122</v>
      </c>
      <c r="B316" s="469" t="s">
        <v>710</v>
      </c>
      <c r="C316" s="476" t="s">
        <v>3522</v>
      </c>
      <c r="D316" s="464"/>
      <c r="E316" s="465" t="s">
        <v>3523</v>
      </c>
      <c r="F316" s="466" t="s">
        <v>2873</v>
      </c>
      <c r="G316" s="464"/>
      <c r="H316" s="477">
        <v>44978</v>
      </c>
      <c r="I316" s="473">
        <f t="shared" si="10"/>
        <v>198198.19819819817</v>
      </c>
      <c r="J316" s="473">
        <f t="shared" si="11"/>
        <v>21801.801801801797</v>
      </c>
      <c r="K316" s="474">
        <v>220000</v>
      </c>
      <c r="L316" s="475"/>
    </row>
    <row r="317" spans="1:12" x14ac:dyDescent="0.2">
      <c r="A317" s="305">
        <v>123</v>
      </c>
      <c r="B317" s="485" t="s">
        <v>711</v>
      </c>
      <c r="C317" s="476" t="s">
        <v>3524</v>
      </c>
      <c r="D317" s="464"/>
      <c r="E317" s="465" t="s">
        <v>3087</v>
      </c>
      <c r="F317" s="466" t="s">
        <v>2919</v>
      </c>
      <c r="G317" s="464"/>
      <c r="H317" s="477">
        <v>44978</v>
      </c>
      <c r="I317" s="488">
        <f t="shared" si="10"/>
        <v>937855.85585585574</v>
      </c>
      <c r="J317" s="488">
        <f t="shared" si="11"/>
        <v>103164.14414414413</v>
      </c>
      <c r="K317" s="474">
        <v>1041020</v>
      </c>
      <c r="L317" s="475"/>
    </row>
    <row r="318" spans="1:12" x14ac:dyDescent="0.2">
      <c r="A318" s="305">
        <v>124</v>
      </c>
      <c r="B318" s="469" t="s">
        <v>712</v>
      </c>
      <c r="C318" s="476" t="s">
        <v>3525</v>
      </c>
      <c r="D318" s="464"/>
      <c r="E318" s="465" t="s">
        <v>2916</v>
      </c>
      <c r="F318" s="466" t="s">
        <v>2917</v>
      </c>
      <c r="G318" s="464"/>
      <c r="H318" s="477">
        <v>44979</v>
      </c>
      <c r="I318" s="473">
        <f t="shared" si="10"/>
        <v>44369.369369369364</v>
      </c>
      <c r="J318" s="473">
        <f t="shared" si="11"/>
        <v>4880.6306306306296</v>
      </c>
      <c r="K318" s="474">
        <v>49250</v>
      </c>
      <c r="L318" s="475"/>
    </row>
    <row r="319" spans="1:12" x14ac:dyDescent="0.2">
      <c r="A319" s="305">
        <v>125</v>
      </c>
      <c r="B319" s="485" t="s">
        <v>713</v>
      </c>
      <c r="C319" s="476" t="s">
        <v>3526</v>
      </c>
      <c r="D319" s="464"/>
      <c r="E319" s="465" t="s">
        <v>2907</v>
      </c>
      <c r="F319" s="466" t="s">
        <v>2792</v>
      </c>
      <c r="G319" s="464"/>
      <c r="H319" s="477">
        <v>44981</v>
      </c>
      <c r="I319" s="488">
        <f t="shared" si="10"/>
        <v>1080997.2972972973</v>
      </c>
      <c r="J319" s="488">
        <f t="shared" si="11"/>
        <v>118909.70270270271</v>
      </c>
      <c r="K319" s="474">
        <v>1199907</v>
      </c>
      <c r="L319" s="475"/>
    </row>
    <row r="320" spans="1:12" x14ac:dyDescent="0.2">
      <c r="A320" s="305">
        <v>126</v>
      </c>
      <c r="B320" s="469" t="s">
        <v>714</v>
      </c>
      <c r="C320" s="476" t="s">
        <v>3577</v>
      </c>
      <c r="D320" s="464"/>
      <c r="E320" s="465" t="s">
        <v>2907</v>
      </c>
      <c r="F320" s="466" t="s">
        <v>2858</v>
      </c>
      <c r="G320" s="464"/>
      <c r="H320" s="477">
        <v>44984</v>
      </c>
      <c r="I320" s="473">
        <f t="shared" si="10"/>
        <v>14495252.252252251</v>
      </c>
      <c r="J320" s="473">
        <f t="shared" si="11"/>
        <v>1594477.7477477477</v>
      </c>
      <c r="K320" s="474">
        <f>4986360+2462400+8640970</f>
        <v>16089730</v>
      </c>
      <c r="L320" s="475"/>
    </row>
    <row r="321" spans="1:12" x14ac:dyDescent="0.2">
      <c r="A321" s="305">
        <v>127</v>
      </c>
      <c r="B321" s="485" t="s">
        <v>715</v>
      </c>
      <c r="C321" s="476" t="s">
        <v>3582</v>
      </c>
      <c r="D321" s="464"/>
      <c r="E321" s="465" t="s">
        <v>3138</v>
      </c>
      <c r="F321" s="466" t="s">
        <v>3077</v>
      </c>
      <c r="G321" s="464"/>
      <c r="H321" s="477">
        <v>44982</v>
      </c>
      <c r="I321" s="488">
        <f t="shared" si="10"/>
        <v>3963963.9639639636</v>
      </c>
      <c r="J321" s="488">
        <f t="shared" si="11"/>
        <v>436036.03603603598</v>
      </c>
      <c r="K321" s="474">
        <f>1760000+2640000</f>
        <v>4400000</v>
      </c>
      <c r="L321" s="475"/>
    </row>
    <row r="322" spans="1:12" x14ac:dyDescent="0.2">
      <c r="A322" s="305">
        <v>128</v>
      </c>
      <c r="B322" s="469" t="s">
        <v>716</v>
      </c>
      <c r="C322" s="476" t="s">
        <v>3560</v>
      </c>
      <c r="D322" s="464"/>
      <c r="E322" s="465" t="s">
        <v>3527</v>
      </c>
      <c r="F322" s="466" t="s">
        <v>2922</v>
      </c>
      <c r="G322" s="464"/>
      <c r="H322" s="477">
        <v>44980</v>
      </c>
      <c r="I322" s="473">
        <f t="shared" si="10"/>
        <v>16338591.891891891</v>
      </c>
      <c r="J322" s="473">
        <f t="shared" si="11"/>
        <v>1797245.1081081079</v>
      </c>
      <c r="K322" s="474">
        <f>3697700+7477757+6960380</f>
        <v>18135837</v>
      </c>
      <c r="L322" s="475"/>
    </row>
    <row r="323" spans="1:12" x14ac:dyDescent="0.2">
      <c r="A323" s="305">
        <v>129</v>
      </c>
      <c r="B323" s="485" t="s">
        <v>717</v>
      </c>
      <c r="C323" s="480" t="s">
        <v>3528</v>
      </c>
      <c r="D323" s="481"/>
      <c r="E323" s="482" t="s">
        <v>3529</v>
      </c>
      <c r="F323" s="483" t="s">
        <v>2935</v>
      </c>
      <c r="G323" s="513"/>
      <c r="H323" s="484">
        <v>44984</v>
      </c>
      <c r="I323" s="488">
        <f t="shared" si="10"/>
        <v>882459.45945945941</v>
      </c>
      <c r="J323" s="488">
        <f t="shared" si="11"/>
        <v>97070.540540540533</v>
      </c>
      <c r="K323" s="474">
        <v>979530</v>
      </c>
      <c r="L323" s="475"/>
    </row>
    <row r="324" spans="1:12" x14ac:dyDescent="0.2">
      <c r="A324" s="305">
        <v>130</v>
      </c>
      <c r="B324" s="469" t="s">
        <v>718</v>
      </c>
      <c r="C324" s="476" t="s">
        <v>3530</v>
      </c>
      <c r="D324" s="464"/>
      <c r="E324" s="471" t="s">
        <v>3531</v>
      </c>
      <c r="F324" s="471" t="s">
        <v>3061</v>
      </c>
      <c r="G324" s="464"/>
      <c r="H324" s="477">
        <v>44982</v>
      </c>
      <c r="I324" s="473">
        <f t="shared" si="10"/>
        <v>94594.594594594586</v>
      </c>
      <c r="J324" s="473">
        <f t="shared" si="11"/>
        <v>10405.405405405405</v>
      </c>
      <c r="K324" s="474">
        <v>105000</v>
      </c>
      <c r="L324" s="475"/>
    </row>
    <row r="325" spans="1:12" x14ac:dyDescent="0.2">
      <c r="A325" s="305">
        <v>131</v>
      </c>
      <c r="B325" s="485" t="s">
        <v>719</v>
      </c>
      <c r="C325" s="476" t="s">
        <v>3532</v>
      </c>
      <c r="D325" s="464"/>
      <c r="E325" s="465" t="s">
        <v>3533</v>
      </c>
      <c r="F325" s="466" t="s">
        <v>2922</v>
      </c>
      <c r="G325" s="464"/>
      <c r="H325" s="477">
        <v>44984</v>
      </c>
      <c r="I325" s="488">
        <f t="shared" ref="I325:I369" si="12">K325/1.11</f>
        <v>1245989.1891891891</v>
      </c>
      <c r="J325" s="488">
        <f t="shared" ref="J325:J369" si="13">I325*11%</f>
        <v>137058.8108108108</v>
      </c>
      <c r="K325" s="474">
        <v>1383048</v>
      </c>
      <c r="L325" s="475"/>
    </row>
    <row r="326" spans="1:12" x14ac:dyDescent="0.2">
      <c r="A326" s="305">
        <v>132</v>
      </c>
      <c r="B326" s="469" t="s">
        <v>720</v>
      </c>
      <c r="C326" s="476" t="s">
        <v>3534</v>
      </c>
      <c r="D326" s="464"/>
      <c r="E326" s="465" t="s">
        <v>6909</v>
      </c>
      <c r="F326" s="466" t="s">
        <v>2886</v>
      </c>
      <c r="G326" s="464"/>
      <c r="H326" s="477">
        <v>44985</v>
      </c>
      <c r="I326" s="473">
        <f t="shared" si="12"/>
        <v>5320410.81081081</v>
      </c>
      <c r="J326" s="473">
        <f t="shared" si="13"/>
        <v>585245.18918918911</v>
      </c>
      <c r="K326" s="474">
        <v>5905656</v>
      </c>
      <c r="L326" s="475"/>
    </row>
    <row r="327" spans="1:12" x14ac:dyDescent="0.2">
      <c r="A327" s="305">
        <v>133</v>
      </c>
      <c r="B327" s="485" t="s">
        <v>721</v>
      </c>
      <c r="C327" s="476" t="s">
        <v>3535</v>
      </c>
      <c r="D327" s="464"/>
      <c r="E327" s="465" t="s">
        <v>3536</v>
      </c>
      <c r="F327" s="466" t="s">
        <v>2877</v>
      </c>
      <c r="G327" s="464"/>
      <c r="H327" s="477">
        <v>44985</v>
      </c>
      <c r="I327" s="488">
        <f t="shared" si="12"/>
        <v>7966747.7477477472</v>
      </c>
      <c r="J327" s="488">
        <f t="shared" si="13"/>
        <v>876342.25225225219</v>
      </c>
      <c r="K327" s="474">
        <v>8843090</v>
      </c>
      <c r="L327" s="475"/>
    </row>
    <row r="328" spans="1:12" x14ac:dyDescent="0.2">
      <c r="A328" s="305">
        <v>134</v>
      </c>
      <c r="B328" s="469" t="s">
        <v>722</v>
      </c>
      <c r="C328" s="476" t="s">
        <v>3547</v>
      </c>
      <c r="D328" s="464"/>
      <c r="E328" s="465" t="s">
        <v>2939</v>
      </c>
      <c r="F328" s="466" t="s">
        <v>2940</v>
      </c>
      <c r="G328" s="464"/>
      <c r="H328" s="477">
        <v>44985</v>
      </c>
      <c r="I328" s="473">
        <f t="shared" si="12"/>
        <v>4613918.9189189188</v>
      </c>
      <c r="J328" s="473">
        <f t="shared" si="13"/>
        <v>507531.08108108107</v>
      </c>
      <c r="K328" s="474">
        <f>3180600+1940850</f>
        <v>5121450</v>
      </c>
      <c r="L328" s="475"/>
    </row>
    <row r="329" spans="1:12" x14ac:dyDescent="0.2">
      <c r="A329" s="305">
        <v>135</v>
      </c>
      <c r="B329" s="485" t="s">
        <v>723</v>
      </c>
      <c r="C329" s="476" t="s">
        <v>3537</v>
      </c>
      <c r="D329" s="464"/>
      <c r="E329" s="465" t="s">
        <v>3538</v>
      </c>
      <c r="F329" s="466" t="s">
        <v>2890</v>
      </c>
      <c r="G329" s="464"/>
      <c r="H329" s="477">
        <v>44985</v>
      </c>
      <c r="I329" s="488">
        <f t="shared" si="12"/>
        <v>4325837.8378378376</v>
      </c>
      <c r="J329" s="488">
        <f t="shared" si="13"/>
        <v>475842.16216216213</v>
      </c>
      <c r="K329" s="474">
        <v>4801680</v>
      </c>
      <c r="L329" s="475"/>
    </row>
    <row r="330" spans="1:12" x14ac:dyDescent="0.2">
      <c r="A330" s="305">
        <v>136</v>
      </c>
      <c r="B330" s="469" t="s">
        <v>724</v>
      </c>
      <c r="C330" s="476" t="s">
        <v>3539</v>
      </c>
      <c r="D330" s="464"/>
      <c r="E330" s="465" t="s">
        <v>2924</v>
      </c>
      <c r="F330" s="466" t="s">
        <v>2925</v>
      </c>
      <c r="G330" s="464"/>
      <c r="H330" s="477">
        <v>44985</v>
      </c>
      <c r="I330" s="473">
        <f t="shared" si="12"/>
        <v>392990.99099099095</v>
      </c>
      <c r="J330" s="473">
        <f t="shared" si="13"/>
        <v>43229.009009009002</v>
      </c>
      <c r="K330" s="474">
        <v>436220</v>
      </c>
      <c r="L330" s="475"/>
    </row>
    <row r="331" spans="1:12" x14ac:dyDescent="0.2">
      <c r="A331" s="305">
        <v>137</v>
      </c>
      <c r="B331" s="485" t="s">
        <v>725</v>
      </c>
      <c r="C331" s="476" t="s">
        <v>3540</v>
      </c>
      <c r="D331" s="464"/>
      <c r="E331" s="465" t="s">
        <v>3541</v>
      </c>
      <c r="F331" s="466" t="s">
        <v>2982</v>
      </c>
      <c r="G331" s="464"/>
      <c r="H331" s="477">
        <v>44985</v>
      </c>
      <c r="I331" s="488">
        <f t="shared" si="12"/>
        <v>462162.16216216213</v>
      </c>
      <c r="J331" s="488">
        <f t="shared" si="13"/>
        <v>50837.837837837833</v>
      </c>
      <c r="K331" s="474">
        <v>513000</v>
      </c>
      <c r="L331" s="475"/>
    </row>
    <row r="332" spans="1:12" x14ac:dyDescent="0.2">
      <c r="A332" s="305">
        <v>138</v>
      </c>
      <c r="B332" s="469" t="s">
        <v>726</v>
      </c>
      <c r="C332" s="476" t="s">
        <v>3545</v>
      </c>
      <c r="D332" s="464"/>
      <c r="E332" s="465" t="s">
        <v>3003</v>
      </c>
      <c r="F332" s="466" t="s">
        <v>2953</v>
      </c>
      <c r="G332" s="464"/>
      <c r="H332" s="477">
        <v>44985</v>
      </c>
      <c r="I332" s="473">
        <f t="shared" si="12"/>
        <v>2168918.9189189188</v>
      </c>
      <c r="J332" s="473">
        <f t="shared" si="13"/>
        <v>238581.08108108107</v>
      </c>
      <c r="K332" s="474">
        <v>2407500</v>
      </c>
      <c r="L332" s="475"/>
    </row>
    <row r="333" spans="1:12" x14ac:dyDescent="0.2">
      <c r="A333" s="305">
        <v>139</v>
      </c>
      <c r="B333" s="485" t="s">
        <v>727</v>
      </c>
      <c r="C333" s="476" t="s">
        <v>3549</v>
      </c>
      <c r="D333" s="464"/>
      <c r="E333" s="465" t="s">
        <v>2918</v>
      </c>
      <c r="F333" s="466" t="s">
        <v>2919</v>
      </c>
      <c r="G333" s="464"/>
      <c r="H333" s="477">
        <v>44978</v>
      </c>
      <c r="I333" s="488">
        <f t="shared" si="12"/>
        <v>375666.66666666663</v>
      </c>
      <c r="J333" s="488">
        <f t="shared" si="13"/>
        <v>41323.333333333328</v>
      </c>
      <c r="K333" s="474">
        <v>416990</v>
      </c>
      <c r="L333" s="475"/>
    </row>
    <row r="334" spans="1:12" x14ac:dyDescent="0.2">
      <c r="A334" s="305">
        <v>140</v>
      </c>
      <c r="B334" s="469" t="s">
        <v>728</v>
      </c>
      <c r="C334" s="480" t="s">
        <v>3551</v>
      </c>
      <c r="D334" s="481"/>
      <c r="E334" s="482" t="s">
        <v>2970</v>
      </c>
      <c r="F334" s="483" t="s">
        <v>2946</v>
      </c>
      <c r="G334" s="513"/>
      <c r="H334" s="484">
        <v>44978</v>
      </c>
      <c r="I334" s="473">
        <f t="shared" si="12"/>
        <v>662009.00900900899</v>
      </c>
      <c r="J334" s="473">
        <f t="shared" si="13"/>
        <v>72820.990990990991</v>
      </c>
      <c r="K334" s="474">
        <v>734830</v>
      </c>
      <c r="L334" s="475"/>
    </row>
    <row r="335" spans="1:12" x14ac:dyDescent="0.2">
      <c r="A335" s="305">
        <v>141</v>
      </c>
      <c r="B335" s="485" t="s">
        <v>729</v>
      </c>
      <c r="C335" s="476" t="s">
        <v>3552</v>
      </c>
      <c r="D335" s="464"/>
      <c r="E335" s="465" t="s">
        <v>3553</v>
      </c>
      <c r="F335" s="466" t="s">
        <v>2908</v>
      </c>
      <c r="G335" s="464"/>
      <c r="H335" s="477">
        <v>44978</v>
      </c>
      <c r="I335" s="488">
        <f t="shared" si="12"/>
        <v>53610.810810810806</v>
      </c>
      <c r="J335" s="488">
        <f t="shared" si="13"/>
        <v>5897.1891891891892</v>
      </c>
      <c r="K335" s="474">
        <v>59508</v>
      </c>
      <c r="L335" s="475"/>
    </row>
    <row r="336" spans="1:12" x14ac:dyDescent="0.2">
      <c r="A336" s="305">
        <v>142</v>
      </c>
      <c r="B336" s="469" t="s">
        <v>730</v>
      </c>
      <c r="C336" s="476" t="s">
        <v>3554</v>
      </c>
      <c r="D336" s="464"/>
      <c r="E336" s="465" t="s">
        <v>3146</v>
      </c>
      <c r="F336" s="466" t="s">
        <v>3147</v>
      </c>
      <c r="G336" s="464"/>
      <c r="H336" s="477">
        <v>44979</v>
      </c>
      <c r="I336" s="473">
        <f t="shared" si="12"/>
        <v>1218722.5225225224</v>
      </c>
      <c r="J336" s="473">
        <f t="shared" si="13"/>
        <v>134059.47747747746</v>
      </c>
      <c r="K336" s="474">
        <v>1352782</v>
      </c>
      <c r="L336" s="475"/>
    </row>
    <row r="337" spans="1:12" x14ac:dyDescent="0.2">
      <c r="A337" s="305">
        <v>143</v>
      </c>
      <c r="B337" s="485" t="s">
        <v>731</v>
      </c>
      <c r="C337" s="476" t="s">
        <v>3555</v>
      </c>
      <c r="D337" s="464"/>
      <c r="E337" s="465" t="s">
        <v>3556</v>
      </c>
      <c r="F337" s="466" t="s">
        <v>3061</v>
      </c>
      <c r="G337" s="464"/>
      <c r="H337" s="477">
        <v>44979</v>
      </c>
      <c r="I337" s="488">
        <f t="shared" si="12"/>
        <v>18967135.135135133</v>
      </c>
      <c r="J337" s="488">
        <f t="shared" si="13"/>
        <v>2086384.8648648646</v>
      </c>
      <c r="K337" s="474">
        <v>21053520</v>
      </c>
      <c r="L337" s="475"/>
    </row>
    <row r="338" spans="1:12" x14ac:dyDescent="0.2">
      <c r="A338" s="305">
        <v>144</v>
      </c>
      <c r="B338" s="469" t="s">
        <v>732</v>
      </c>
      <c r="C338" s="476" t="s">
        <v>3557</v>
      </c>
      <c r="D338" s="464"/>
      <c r="E338" s="465" t="s">
        <v>3051</v>
      </c>
      <c r="F338" s="466" t="s">
        <v>3052</v>
      </c>
      <c r="G338" s="464"/>
      <c r="H338" s="477">
        <v>44979</v>
      </c>
      <c r="I338" s="473">
        <f t="shared" si="12"/>
        <v>678909.90990990982</v>
      </c>
      <c r="J338" s="473">
        <f t="shared" si="13"/>
        <v>74680.090090090074</v>
      </c>
      <c r="K338" s="474">
        <v>753590</v>
      </c>
      <c r="L338" s="475"/>
    </row>
    <row r="339" spans="1:12" x14ac:dyDescent="0.2">
      <c r="A339" s="305">
        <v>145</v>
      </c>
      <c r="B339" s="485" t="s">
        <v>733</v>
      </c>
      <c r="C339" s="480" t="s">
        <v>3575</v>
      </c>
      <c r="D339" s="481"/>
      <c r="E339" s="482" t="s">
        <v>2893</v>
      </c>
      <c r="F339" s="483" t="s">
        <v>2890</v>
      </c>
      <c r="G339" s="513"/>
      <c r="H339" s="484">
        <v>44979</v>
      </c>
      <c r="I339" s="488">
        <f t="shared" si="12"/>
        <v>3830399.9999999995</v>
      </c>
      <c r="J339" s="488">
        <f t="shared" si="13"/>
        <v>421343.99999999994</v>
      </c>
      <c r="K339" s="474">
        <f>1809864+2441880</f>
        <v>4251744</v>
      </c>
      <c r="L339" s="475"/>
    </row>
    <row r="340" spans="1:12" x14ac:dyDescent="0.2">
      <c r="A340" s="305">
        <v>146</v>
      </c>
      <c r="B340" s="469" t="s">
        <v>734</v>
      </c>
      <c r="C340" s="476" t="s">
        <v>3600</v>
      </c>
      <c r="D340" s="464"/>
      <c r="E340" s="465" t="s">
        <v>2881</v>
      </c>
      <c r="F340" s="466" t="s">
        <v>2808</v>
      </c>
      <c r="G340" s="464"/>
      <c r="H340" s="477">
        <v>44980</v>
      </c>
      <c r="I340" s="473">
        <f t="shared" si="12"/>
        <v>7893108.108108107</v>
      </c>
      <c r="J340" s="473">
        <f t="shared" si="13"/>
        <v>868241.89189189172</v>
      </c>
      <c r="K340" s="474">
        <f>1778400+4321510+2661440</f>
        <v>8761350</v>
      </c>
      <c r="L340" s="475"/>
    </row>
    <row r="341" spans="1:12" x14ac:dyDescent="0.2">
      <c r="A341" s="305">
        <v>147</v>
      </c>
      <c r="B341" s="485" t="s">
        <v>735</v>
      </c>
      <c r="C341" s="476" t="s">
        <v>3592</v>
      </c>
      <c r="D341" s="464"/>
      <c r="E341" s="465" t="s">
        <v>3164</v>
      </c>
      <c r="F341" s="466" t="s">
        <v>2928</v>
      </c>
      <c r="G341" s="464"/>
      <c r="H341" s="477">
        <v>44984</v>
      </c>
      <c r="I341" s="488">
        <f t="shared" si="12"/>
        <v>4048540.5405405401</v>
      </c>
      <c r="J341" s="488">
        <f t="shared" si="13"/>
        <v>445339.45945945941</v>
      </c>
      <c r="K341" s="474">
        <f>923400+3570480</f>
        <v>4493880</v>
      </c>
      <c r="L341" s="475"/>
    </row>
    <row r="342" spans="1:12" x14ac:dyDescent="0.2">
      <c r="A342" s="305">
        <v>148</v>
      </c>
      <c r="B342" s="469" t="s">
        <v>736</v>
      </c>
      <c r="C342" s="476" t="s">
        <v>3574</v>
      </c>
      <c r="D342" s="464"/>
      <c r="E342" s="465" t="s">
        <v>3567</v>
      </c>
      <c r="F342" s="466" t="s">
        <v>3568</v>
      </c>
      <c r="G342" s="464"/>
      <c r="H342" s="477">
        <v>44981</v>
      </c>
      <c r="I342" s="473">
        <f t="shared" si="12"/>
        <v>11663124.324324323</v>
      </c>
      <c r="J342" s="473">
        <f t="shared" si="13"/>
        <v>1282943.6756756755</v>
      </c>
      <c r="K342" s="474">
        <f>9603360+3342708</f>
        <v>12946068</v>
      </c>
      <c r="L342" s="475"/>
    </row>
    <row r="343" spans="1:12" x14ac:dyDescent="0.2">
      <c r="A343" s="305">
        <v>149</v>
      </c>
      <c r="B343" s="485" t="s">
        <v>737</v>
      </c>
      <c r="C343" s="476" t="s">
        <v>3599</v>
      </c>
      <c r="D343" s="464"/>
      <c r="E343" s="465" t="s">
        <v>2906</v>
      </c>
      <c r="F343" s="466" t="s">
        <v>2892</v>
      </c>
      <c r="G343" s="464"/>
      <c r="H343" s="477">
        <v>44981</v>
      </c>
      <c r="I343" s="488">
        <f t="shared" si="12"/>
        <v>5573675.6756756753</v>
      </c>
      <c r="J343" s="488">
        <f t="shared" si="13"/>
        <v>613104.32432432426</v>
      </c>
      <c r="K343" s="474">
        <f>692550+4801680+692550</f>
        <v>6186780</v>
      </c>
      <c r="L343" s="475"/>
    </row>
    <row r="344" spans="1:12" x14ac:dyDescent="0.2">
      <c r="A344" s="305">
        <v>150</v>
      </c>
      <c r="B344" s="469" t="s">
        <v>738</v>
      </c>
      <c r="C344" s="476" t="s">
        <v>3572</v>
      </c>
      <c r="D344" s="464"/>
      <c r="E344" s="465" t="s">
        <v>3573</v>
      </c>
      <c r="F344" s="466" t="s">
        <v>2851</v>
      </c>
      <c r="G344" s="464"/>
      <c r="H344" s="477">
        <v>44982</v>
      </c>
      <c r="I344" s="473">
        <f t="shared" si="12"/>
        <v>231081.08108108107</v>
      </c>
      <c r="J344" s="473">
        <f t="shared" si="13"/>
        <v>25418.918918918916</v>
      </c>
      <c r="K344" s="474">
        <v>256500</v>
      </c>
      <c r="L344" s="475"/>
    </row>
    <row r="345" spans="1:12" x14ac:dyDescent="0.2">
      <c r="A345" s="305">
        <v>151</v>
      </c>
      <c r="B345" s="485" t="s">
        <v>739</v>
      </c>
      <c r="C345" s="476" t="s">
        <v>3593</v>
      </c>
      <c r="D345" s="464"/>
      <c r="E345" s="465" t="s">
        <v>2954</v>
      </c>
      <c r="F345" s="466" t="s">
        <v>2955</v>
      </c>
      <c r="G345" s="464"/>
      <c r="H345" s="477">
        <v>44982</v>
      </c>
      <c r="I345" s="488">
        <f t="shared" si="12"/>
        <v>3471563.0630630627</v>
      </c>
      <c r="J345" s="488">
        <f t="shared" si="13"/>
        <v>381871.93693693692</v>
      </c>
      <c r="K345" s="474">
        <f>1391035+2462400</f>
        <v>3853435</v>
      </c>
      <c r="L345" s="475"/>
    </row>
    <row r="346" spans="1:12" x14ac:dyDescent="0.2">
      <c r="A346" s="305">
        <v>152</v>
      </c>
      <c r="B346" s="469" t="s">
        <v>740</v>
      </c>
      <c r="C346" s="476" t="s">
        <v>3580</v>
      </c>
      <c r="D346" s="464"/>
      <c r="E346" s="465" t="s">
        <v>3581</v>
      </c>
      <c r="F346" s="466" t="s">
        <v>2944</v>
      </c>
      <c r="G346" s="464"/>
      <c r="H346" s="477">
        <v>44985</v>
      </c>
      <c r="I346" s="473">
        <f t="shared" si="12"/>
        <v>2387387.387387387</v>
      </c>
      <c r="J346" s="473">
        <f t="shared" si="13"/>
        <v>262612.61261261255</v>
      </c>
      <c r="K346" s="474">
        <v>2650000</v>
      </c>
      <c r="L346" s="475"/>
    </row>
    <row r="347" spans="1:12" x14ac:dyDescent="0.2">
      <c r="A347" s="305">
        <v>153</v>
      </c>
      <c r="B347" s="485" t="s">
        <v>741</v>
      </c>
      <c r="C347" s="480" t="s">
        <v>3583</v>
      </c>
      <c r="D347" s="481"/>
      <c r="E347" s="482" t="s">
        <v>2981</v>
      </c>
      <c r="F347" s="483" t="s">
        <v>2982</v>
      </c>
      <c r="G347" s="513"/>
      <c r="H347" s="484">
        <v>44984</v>
      </c>
      <c r="I347" s="488">
        <f t="shared" si="12"/>
        <v>2994810.8108108104</v>
      </c>
      <c r="J347" s="488">
        <f t="shared" si="13"/>
        <v>329429.18918918917</v>
      </c>
      <c r="K347" s="474">
        <v>3324240</v>
      </c>
      <c r="L347" s="475"/>
    </row>
    <row r="348" spans="1:12" x14ac:dyDescent="0.2">
      <c r="A348" s="305">
        <v>154</v>
      </c>
      <c r="B348" s="469" t="s">
        <v>742</v>
      </c>
      <c r="C348" s="476" t="s">
        <v>3594</v>
      </c>
      <c r="D348" s="464"/>
      <c r="E348" s="465" t="s">
        <v>2911</v>
      </c>
      <c r="F348" s="466" t="s">
        <v>2912</v>
      </c>
      <c r="G348" s="464"/>
      <c r="H348" s="477">
        <v>44984</v>
      </c>
      <c r="I348" s="473">
        <f t="shared" si="12"/>
        <v>12744576.576576576</v>
      </c>
      <c r="J348" s="473">
        <f t="shared" si="13"/>
        <v>1401903.4234234234</v>
      </c>
      <c r="K348" s="474">
        <f>6685410+7461070</f>
        <v>14146480</v>
      </c>
      <c r="L348" s="475"/>
    </row>
    <row r="349" spans="1:12" x14ac:dyDescent="0.2">
      <c r="A349" s="305">
        <v>155</v>
      </c>
      <c r="B349" s="485" t="s">
        <v>743</v>
      </c>
      <c r="C349" s="476" t="s">
        <v>3585</v>
      </c>
      <c r="D349" s="464"/>
      <c r="E349" s="465" t="s">
        <v>2894</v>
      </c>
      <c r="F349" s="466" t="s">
        <v>2851</v>
      </c>
      <c r="G349" s="464"/>
      <c r="H349" s="477">
        <v>44984</v>
      </c>
      <c r="I349" s="488">
        <f t="shared" si="12"/>
        <v>6022896.3963963958</v>
      </c>
      <c r="J349" s="488">
        <f t="shared" si="13"/>
        <v>662518.60360360355</v>
      </c>
      <c r="K349" s="474">
        <v>6685415</v>
      </c>
      <c r="L349" s="475"/>
    </row>
    <row r="350" spans="1:12" x14ac:dyDescent="0.2">
      <c r="A350" s="305">
        <v>156</v>
      </c>
      <c r="B350" s="469" t="s">
        <v>744</v>
      </c>
      <c r="C350" s="476" t="s">
        <v>3586</v>
      </c>
      <c r="D350" s="464"/>
      <c r="E350" s="465" t="s">
        <v>3156</v>
      </c>
      <c r="F350" s="466" t="s">
        <v>2912</v>
      </c>
      <c r="G350" s="464"/>
      <c r="H350" s="477">
        <v>44984</v>
      </c>
      <c r="I350" s="473">
        <f t="shared" si="12"/>
        <v>524711.71171171172</v>
      </c>
      <c r="J350" s="473">
        <f t="shared" si="13"/>
        <v>57718.288288288291</v>
      </c>
      <c r="K350" s="474">
        <v>582430</v>
      </c>
      <c r="L350" s="475"/>
    </row>
    <row r="351" spans="1:12" x14ac:dyDescent="0.2">
      <c r="A351" s="305">
        <v>157</v>
      </c>
      <c r="B351" s="485" t="s">
        <v>745</v>
      </c>
      <c r="C351" s="476" t="s">
        <v>3588</v>
      </c>
      <c r="D351" s="464"/>
      <c r="E351" s="465" t="s">
        <v>2907</v>
      </c>
      <c r="F351" s="466" t="s">
        <v>2908</v>
      </c>
      <c r="G351" s="464"/>
      <c r="H351" s="477">
        <v>44985</v>
      </c>
      <c r="I351" s="488">
        <f t="shared" si="12"/>
        <v>1157716.2162162161</v>
      </c>
      <c r="J351" s="488">
        <f t="shared" si="13"/>
        <v>127348.78378378377</v>
      </c>
      <c r="K351" s="474">
        <v>1285065</v>
      </c>
      <c r="L351" s="475"/>
    </row>
    <row r="352" spans="1:12" x14ac:dyDescent="0.2">
      <c r="A352" s="305">
        <v>158</v>
      </c>
      <c r="B352" s="469" t="s">
        <v>746</v>
      </c>
      <c r="C352" s="480" t="s">
        <v>3589</v>
      </c>
      <c r="D352" s="481"/>
      <c r="E352" s="482" t="s">
        <v>2885</v>
      </c>
      <c r="F352" s="483" t="s">
        <v>2886</v>
      </c>
      <c r="G352" s="513"/>
      <c r="H352" s="484">
        <v>44985</v>
      </c>
      <c r="I352" s="473">
        <f t="shared" si="12"/>
        <v>1270945.9459459458</v>
      </c>
      <c r="J352" s="473">
        <f t="shared" si="13"/>
        <v>139804.05405405405</v>
      </c>
      <c r="K352" s="474">
        <v>1410750</v>
      </c>
      <c r="L352" s="475"/>
    </row>
    <row r="353" spans="1:12" x14ac:dyDescent="0.2">
      <c r="A353" s="305">
        <v>159</v>
      </c>
      <c r="B353" s="485" t="s">
        <v>747</v>
      </c>
      <c r="C353" s="476" t="s">
        <v>3595</v>
      </c>
      <c r="D353" s="464"/>
      <c r="E353" s="465" t="s">
        <v>3596</v>
      </c>
      <c r="F353" s="466" t="s">
        <v>2912</v>
      </c>
      <c r="G353" s="464"/>
      <c r="H353" s="477">
        <v>44985</v>
      </c>
      <c r="I353" s="488">
        <f t="shared" si="12"/>
        <v>4325837.8378378376</v>
      </c>
      <c r="J353" s="488">
        <f t="shared" si="13"/>
        <v>475842.16216216213</v>
      </c>
      <c r="K353" s="474">
        <v>4801680</v>
      </c>
      <c r="L353" s="475"/>
    </row>
    <row r="354" spans="1:12" x14ac:dyDescent="0.2">
      <c r="A354" s="305">
        <v>160</v>
      </c>
      <c r="B354" s="469" t="s">
        <v>748</v>
      </c>
      <c r="C354" s="476" t="s">
        <v>3587</v>
      </c>
      <c r="D354" s="464"/>
      <c r="E354" s="465" t="s">
        <v>2962</v>
      </c>
      <c r="F354" s="466" t="s">
        <v>2908</v>
      </c>
      <c r="G354" s="464"/>
      <c r="H354" s="477">
        <v>44985</v>
      </c>
      <c r="I354" s="473">
        <f t="shared" si="12"/>
        <v>2218378.3783783782</v>
      </c>
      <c r="J354" s="473">
        <f t="shared" si="13"/>
        <v>244021.6216216216</v>
      </c>
      <c r="K354" s="474">
        <v>2462400</v>
      </c>
      <c r="L354" s="475"/>
    </row>
    <row r="355" spans="1:12" x14ac:dyDescent="0.2">
      <c r="A355" s="305">
        <v>161</v>
      </c>
      <c r="B355" s="485" t="s">
        <v>749</v>
      </c>
      <c r="C355" s="476" t="s">
        <v>3590</v>
      </c>
      <c r="D355" s="464"/>
      <c r="E355" s="465" t="s">
        <v>2921</v>
      </c>
      <c r="F355" s="466" t="s">
        <v>2922</v>
      </c>
      <c r="G355" s="464"/>
      <c r="H355" s="477">
        <v>44985</v>
      </c>
      <c r="I355" s="488">
        <f t="shared" si="12"/>
        <v>1251531.5315315314</v>
      </c>
      <c r="J355" s="488">
        <f t="shared" si="13"/>
        <v>137668.46846846846</v>
      </c>
      <c r="K355" s="474">
        <v>1389200</v>
      </c>
      <c r="L355" s="475"/>
    </row>
    <row r="356" spans="1:12" x14ac:dyDescent="0.2">
      <c r="A356" s="305">
        <v>162</v>
      </c>
      <c r="B356" s="469" t="s">
        <v>750</v>
      </c>
      <c r="C356" s="476" t="s">
        <v>3591</v>
      </c>
      <c r="D356" s="464"/>
      <c r="E356" s="465" t="s">
        <v>2914</v>
      </c>
      <c r="F356" s="466" t="s">
        <v>2915</v>
      </c>
      <c r="G356" s="464"/>
      <c r="H356" s="477">
        <v>44985</v>
      </c>
      <c r="I356" s="473">
        <f t="shared" si="12"/>
        <v>382882.88288288284</v>
      </c>
      <c r="J356" s="473">
        <f t="shared" si="13"/>
        <v>42117.117117117115</v>
      </c>
      <c r="K356" s="474">
        <v>425000</v>
      </c>
      <c r="L356" s="475"/>
    </row>
    <row r="357" spans="1:12" x14ac:dyDescent="0.2">
      <c r="A357" s="305">
        <v>163</v>
      </c>
      <c r="B357" s="485" t="s">
        <v>751</v>
      </c>
      <c r="C357" s="476" t="s">
        <v>3602</v>
      </c>
      <c r="D357" s="464"/>
      <c r="E357" s="465" t="s">
        <v>2991</v>
      </c>
      <c r="F357" s="466" t="s">
        <v>2886</v>
      </c>
      <c r="G357" s="464"/>
      <c r="H357" s="477">
        <v>44985</v>
      </c>
      <c r="I357" s="488">
        <f t="shared" si="12"/>
        <v>1725405.4054054052</v>
      </c>
      <c r="J357" s="488">
        <f t="shared" si="13"/>
        <v>189794.59459459459</v>
      </c>
      <c r="K357" s="474">
        <v>1915200</v>
      </c>
      <c r="L357" s="475"/>
    </row>
    <row r="358" spans="1:12" x14ac:dyDescent="0.2">
      <c r="A358" s="305">
        <v>164</v>
      </c>
      <c r="B358" s="469" t="s">
        <v>752</v>
      </c>
      <c r="C358" s="476" t="s">
        <v>3606</v>
      </c>
      <c r="D358" s="464"/>
      <c r="E358" s="465" t="s">
        <v>3605</v>
      </c>
      <c r="F358" s="466" t="s">
        <v>2915</v>
      </c>
      <c r="G358" s="464"/>
      <c r="H358" s="477">
        <v>44971</v>
      </c>
      <c r="I358" s="473">
        <f t="shared" si="12"/>
        <v>66885186.48648648</v>
      </c>
      <c r="J358" s="473">
        <f t="shared" si="13"/>
        <v>7357370.5135135129</v>
      </c>
      <c r="K358" s="474">
        <f>28055457+35825868+10361232</f>
        <v>74242557</v>
      </c>
      <c r="L358" s="475"/>
    </row>
    <row r="359" spans="1:12" x14ac:dyDescent="0.2">
      <c r="A359" s="305">
        <v>165</v>
      </c>
      <c r="B359" s="485" t="s">
        <v>753</v>
      </c>
      <c r="C359" s="476" t="s">
        <v>3607</v>
      </c>
      <c r="D359" s="464"/>
      <c r="E359" s="465" t="s">
        <v>3605</v>
      </c>
      <c r="F359" s="466" t="s">
        <v>2915</v>
      </c>
      <c r="G359" s="464"/>
      <c r="H359" s="477">
        <v>44978</v>
      </c>
      <c r="I359" s="488">
        <f t="shared" si="12"/>
        <v>51357499.099099092</v>
      </c>
      <c r="J359" s="488">
        <f t="shared" si="13"/>
        <v>5649324.9009009004</v>
      </c>
      <c r="K359" s="474">
        <f>19275674+14813388+22917762</f>
        <v>57006824</v>
      </c>
      <c r="L359" s="475"/>
    </row>
    <row r="360" spans="1:12" x14ac:dyDescent="0.2">
      <c r="A360" s="305">
        <v>166</v>
      </c>
      <c r="B360" s="469" t="s">
        <v>754</v>
      </c>
      <c r="C360" s="480" t="s">
        <v>3331</v>
      </c>
      <c r="D360" s="481"/>
      <c r="E360" s="482" t="s">
        <v>3605</v>
      </c>
      <c r="F360" s="483" t="s">
        <v>2915</v>
      </c>
      <c r="G360" s="513"/>
      <c r="H360" s="484">
        <v>44985</v>
      </c>
      <c r="I360" s="473">
        <f t="shared" si="12"/>
        <v>27432566.666666664</v>
      </c>
      <c r="J360" s="473">
        <f t="shared" si="13"/>
        <v>3017582.333333333</v>
      </c>
      <c r="K360" s="474">
        <v>30450149</v>
      </c>
      <c r="L360" s="475"/>
    </row>
    <row r="361" spans="1:12" x14ac:dyDescent="0.2">
      <c r="A361" s="305">
        <v>167</v>
      </c>
      <c r="B361" s="485" t="s">
        <v>755</v>
      </c>
      <c r="C361" s="476" t="s">
        <v>3610</v>
      </c>
      <c r="D361" s="464"/>
      <c r="E361" s="465" t="s">
        <v>3608</v>
      </c>
      <c r="F361" s="466" t="s">
        <v>3609</v>
      </c>
      <c r="G361" s="464"/>
      <c r="H361" s="477">
        <v>44964</v>
      </c>
      <c r="I361" s="488">
        <f t="shared" si="12"/>
        <v>22693009.009009007</v>
      </c>
      <c r="J361" s="488">
        <f t="shared" si="13"/>
        <v>2496230.9909909908</v>
      </c>
      <c r="K361" s="474">
        <f>70000+807462+1720602+2400840+3840000+16350336</f>
        <v>25189240</v>
      </c>
      <c r="L361" s="475"/>
    </row>
    <row r="362" spans="1:12" x14ac:dyDescent="0.2">
      <c r="A362" s="305">
        <v>168</v>
      </c>
      <c r="B362" s="469" t="s">
        <v>756</v>
      </c>
      <c r="C362" s="476" t="s">
        <v>3611</v>
      </c>
      <c r="D362" s="464"/>
      <c r="E362" s="465" t="s">
        <v>3608</v>
      </c>
      <c r="F362" s="466" t="s">
        <v>3609</v>
      </c>
      <c r="G362" s="464"/>
      <c r="H362" s="477">
        <v>44966</v>
      </c>
      <c r="I362" s="473">
        <f t="shared" si="12"/>
        <v>4387452.2522522518</v>
      </c>
      <c r="J362" s="473">
        <f t="shared" si="13"/>
        <v>482619.74774774769</v>
      </c>
      <c r="K362" s="474">
        <f>1266760+3484296+119016</f>
        <v>4870072</v>
      </c>
      <c r="L362" s="475"/>
    </row>
    <row r="363" spans="1:12" x14ac:dyDescent="0.2">
      <c r="A363" s="305">
        <v>169</v>
      </c>
      <c r="B363" s="485" t="s">
        <v>757</v>
      </c>
      <c r="C363" s="476" t="s">
        <v>3613</v>
      </c>
      <c r="D363" s="464"/>
      <c r="E363" s="465" t="s">
        <v>3614</v>
      </c>
      <c r="F363" s="466" t="s">
        <v>3609</v>
      </c>
      <c r="G363" s="464"/>
      <c r="H363" s="477">
        <v>44964</v>
      </c>
      <c r="I363" s="488">
        <f t="shared" si="12"/>
        <v>55460274.774774767</v>
      </c>
      <c r="J363" s="488">
        <f t="shared" si="13"/>
        <v>6100630.2252252242</v>
      </c>
      <c r="K363" s="724">
        <v>61560905</v>
      </c>
      <c r="L363" s="723"/>
    </row>
    <row r="364" spans="1:12" x14ac:dyDescent="0.2">
      <c r="A364" s="305">
        <v>170</v>
      </c>
      <c r="B364" s="469" t="s">
        <v>758</v>
      </c>
      <c r="C364" s="476" t="s">
        <v>3615</v>
      </c>
      <c r="D364" s="464"/>
      <c r="E364" s="465" t="s">
        <v>3614</v>
      </c>
      <c r="F364" s="466" t="s">
        <v>3609</v>
      </c>
      <c r="G364" s="464"/>
      <c r="H364" s="477">
        <v>44985</v>
      </c>
      <c r="I364" s="473">
        <f t="shared" si="12"/>
        <v>65378581.081081077</v>
      </c>
      <c r="J364" s="473">
        <f t="shared" si="13"/>
        <v>7191643.9189189188</v>
      </c>
      <c r="K364" s="724">
        <v>72570225</v>
      </c>
      <c r="L364" s="723"/>
    </row>
    <row r="365" spans="1:12" x14ac:dyDescent="0.2">
      <c r="A365" s="305">
        <v>171</v>
      </c>
      <c r="B365" s="485" t="s">
        <v>759</v>
      </c>
      <c r="C365" s="476" t="s">
        <v>3616</v>
      </c>
      <c r="D365" s="464"/>
      <c r="E365" s="465" t="s">
        <v>3612</v>
      </c>
      <c r="F365" s="466" t="s">
        <v>3609</v>
      </c>
      <c r="G365" s="464"/>
      <c r="H365" s="477">
        <v>44968</v>
      </c>
      <c r="I365" s="488">
        <f t="shared" si="12"/>
        <v>84222990.990990981</v>
      </c>
      <c r="J365" s="488">
        <f t="shared" si="13"/>
        <v>9264529.0090090074</v>
      </c>
      <c r="K365" s="724">
        <v>93487520</v>
      </c>
      <c r="L365" s="723"/>
    </row>
    <row r="366" spans="1:12" x14ac:dyDescent="0.2">
      <c r="A366" s="305">
        <v>172</v>
      </c>
      <c r="B366" s="469" t="s">
        <v>760</v>
      </c>
      <c r="C366" s="476" t="s">
        <v>3617</v>
      </c>
      <c r="D366" s="464"/>
      <c r="E366" s="465" t="s">
        <v>3612</v>
      </c>
      <c r="F366" s="466" t="s">
        <v>3609</v>
      </c>
      <c r="G366" s="464"/>
      <c r="H366" s="477">
        <v>44974</v>
      </c>
      <c r="I366" s="473">
        <f t="shared" si="12"/>
        <v>91300099.099099085</v>
      </c>
      <c r="J366" s="473">
        <f t="shared" si="13"/>
        <v>10043010.900900899</v>
      </c>
      <c r="K366" s="724">
        <v>101343110</v>
      </c>
      <c r="L366" s="723"/>
    </row>
    <row r="367" spans="1:12" x14ac:dyDescent="0.2">
      <c r="A367" s="305">
        <v>173</v>
      </c>
      <c r="B367" s="485" t="s">
        <v>761</v>
      </c>
      <c r="C367" s="476" t="s">
        <v>3618</v>
      </c>
      <c r="D367" s="464"/>
      <c r="E367" s="465" t="s">
        <v>3612</v>
      </c>
      <c r="F367" s="466" t="s">
        <v>3609</v>
      </c>
      <c r="G367" s="464"/>
      <c r="H367" s="477">
        <v>44979</v>
      </c>
      <c r="I367" s="488">
        <f t="shared" si="12"/>
        <v>88796882.882882878</v>
      </c>
      <c r="J367" s="488">
        <f t="shared" si="13"/>
        <v>9767657.1171171162</v>
      </c>
      <c r="K367" s="724">
        <v>98564540</v>
      </c>
      <c r="L367" s="723"/>
    </row>
    <row r="368" spans="1:12" x14ac:dyDescent="0.2">
      <c r="A368" s="305">
        <v>174</v>
      </c>
      <c r="B368" s="469" t="s">
        <v>762</v>
      </c>
      <c r="C368" s="476" t="s">
        <v>3619</v>
      </c>
      <c r="D368" s="464"/>
      <c r="E368" s="465" t="s">
        <v>3612</v>
      </c>
      <c r="F368" s="466" t="s">
        <v>3609</v>
      </c>
      <c r="G368" s="464"/>
      <c r="H368" s="477">
        <v>44982</v>
      </c>
      <c r="I368" s="473">
        <f t="shared" si="12"/>
        <v>90674279.279279277</v>
      </c>
      <c r="J368" s="473">
        <f t="shared" si="13"/>
        <v>9974170.7207207214</v>
      </c>
      <c r="K368" s="724">
        <v>100648450</v>
      </c>
      <c r="L368" s="723"/>
    </row>
    <row r="369" spans="1:12" x14ac:dyDescent="0.2">
      <c r="A369" s="305">
        <v>175</v>
      </c>
      <c r="B369" s="485" t="s">
        <v>763</v>
      </c>
      <c r="C369" s="476" t="s">
        <v>3620</v>
      </c>
      <c r="D369" s="464"/>
      <c r="E369" s="465" t="s">
        <v>3612</v>
      </c>
      <c r="F369" s="466" t="s">
        <v>3609</v>
      </c>
      <c r="G369" s="464"/>
      <c r="H369" s="477">
        <v>44985</v>
      </c>
      <c r="I369" s="488">
        <f t="shared" si="12"/>
        <v>76788890.090090081</v>
      </c>
      <c r="J369" s="488">
        <f t="shared" si="13"/>
        <v>8446777.9099099096</v>
      </c>
      <c r="K369" s="724">
        <f>70215678+15019990</f>
        <v>85235668</v>
      </c>
      <c r="L369" s="723"/>
    </row>
    <row r="370" spans="1:12" ht="18" x14ac:dyDescent="0.25">
      <c r="B370" s="490" t="s">
        <v>231</v>
      </c>
      <c r="C370" s="491"/>
      <c r="D370" s="492"/>
      <c r="E370" s="493"/>
      <c r="F370" s="494"/>
      <c r="G370" s="514"/>
      <c r="H370" s="495"/>
      <c r="I370" s="496">
        <f>SUM(I195:I369)</f>
        <v>2189844675.6756759</v>
      </c>
      <c r="J370" s="496">
        <f>SUM(J195:J369)</f>
        <v>240882914.32432425</v>
      </c>
      <c r="K370" s="496">
        <f>SUM(K195:K369)</f>
        <v>2430727590</v>
      </c>
      <c r="L370" s="497"/>
    </row>
    <row r="371" spans="1:12" s="352" customFormat="1" ht="20.25" x14ac:dyDescent="0.3">
      <c r="A371" s="305"/>
      <c r="B371" s="498" t="s">
        <v>100</v>
      </c>
      <c r="C371" s="486"/>
      <c r="D371" s="487"/>
      <c r="E371" s="487"/>
      <c r="F371" s="487"/>
      <c r="G371" s="487"/>
      <c r="H371" s="499"/>
      <c r="I371" s="500"/>
      <c r="J371" s="500"/>
      <c r="K371" s="501"/>
      <c r="L371" s="502"/>
    </row>
    <row r="372" spans="1:12" s="520" customFormat="1" x14ac:dyDescent="0.2">
      <c r="A372" s="517">
        <v>1</v>
      </c>
      <c r="B372" s="485" t="s">
        <v>764</v>
      </c>
      <c r="C372" s="486" t="s">
        <v>4159</v>
      </c>
      <c r="D372" s="464" t="s">
        <v>2758</v>
      </c>
      <c r="E372" s="708" t="s">
        <v>2759</v>
      </c>
      <c r="F372" s="466" t="s">
        <v>2755</v>
      </c>
      <c r="G372" s="518" t="s">
        <v>3343</v>
      </c>
      <c r="H372" s="519">
        <v>44988</v>
      </c>
      <c r="I372" s="488">
        <f>K372/1.11</f>
        <v>7247297.297297297</v>
      </c>
      <c r="J372" s="488">
        <f>I372*11%</f>
        <v>797202.70270270272</v>
      </c>
      <c r="K372" s="489">
        <v>8044500</v>
      </c>
      <c r="L372" s="547"/>
    </row>
    <row r="373" spans="1:12" s="520" customFormat="1" x14ac:dyDescent="0.2">
      <c r="A373" s="517">
        <v>2</v>
      </c>
      <c r="B373" s="469" t="s">
        <v>765</v>
      </c>
      <c r="C373" s="470" t="s">
        <v>4160</v>
      </c>
      <c r="D373" s="487" t="s">
        <v>2753</v>
      </c>
      <c r="E373" s="503" t="s">
        <v>2754</v>
      </c>
      <c r="F373" s="504" t="s">
        <v>2755</v>
      </c>
      <c r="G373" s="518" t="s">
        <v>3344</v>
      </c>
      <c r="H373" s="519">
        <v>44988</v>
      </c>
      <c r="I373" s="473">
        <f>K373/1.11</f>
        <v>3646945.9459459456</v>
      </c>
      <c r="J373" s="473">
        <f>I373*11%</f>
        <v>401164.05405405402</v>
      </c>
      <c r="K373" s="474">
        <v>4048110</v>
      </c>
      <c r="L373" s="475"/>
    </row>
    <row r="374" spans="1:12" s="520" customFormat="1" x14ac:dyDescent="0.2">
      <c r="A374" s="517">
        <v>3</v>
      </c>
      <c r="B374" s="485" t="s">
        <v>766</v>
      </c>
      <c r="C374" s="476" t="s">
        <v>4161</v>
      </c>
      <c r="D374" s="464" t="s">
        <v>2783</v>
      </c>
      <c r="E374" s="465" t="s">
        <v>2784</v>
      </c>
      <c r="F374" s="466" t="s">
        <v>2785</v>
      </c>
      <c r="G374" s="518" t="s">
        <v>3345</v>
      </c>
      <c r="H374" s="519">
        <v>44988</v>
      </c>
      <c r="I374" s="488">
        <f t="shared" ref="I374:I437" si="14">K374/1.11</f>
        <v>9194594.5945945941</v>
      </c>
      <c r="J374" s="488">
        <f t="shared" ref="J374:J437" si="15">I374*11%</f>
        <v>1011405.4054054053</v>
      </c>
      <c r="K374" s="474">
        <v>10206000</v>
      </c>
      <c r="L374" s="475"/>
    </row>
    <row r="375" spans="1:12" s="520" customFormat="1" x14ac:dyDescent="0.2">
      <c r="A375" s="517">
        <v>4</v>
      </c>
      <c r="B375" s="469" t="s">
        <v>767</v>
      </c>
      <c r="C375" s="476" t="s">
        <v>4162</v>
      </c>
      <c r="D375" s="464" t="s">
        <v>2779</v>
      </c>
      <c r="E375" s="471" t="s">
        <v>2780</v>
      </c>
      <c r="F375" s="471" t="s">
        <v>2755</v>
      </c>
      <c r="G375" s="518" t="s">
        <v>3346</v>
      </c>
      <c r="H375" s="519">
        <v>44991</v>
      </c>
      <c r="I375" s="473">
        <f t="shared" si="14"/>
        <v>749675.67567567562</v>
      </c>
      <c r="J375" s="473">
        <f t="shared" si="15"/>
        <v>82464.32432432432</v>
      </c>
      <c r="K375" s="474">
        <v>832140</v>
      </c>
      <c r="L375" s="475"/>
    </row>
    <row r="376" spans="1:12" s="520" customFormat="1" x14ac:dyDescent="0.2">
      <c r="A376" s="517">
        <v>5</v>
      </c>
      <c r="B376" s="485" t="s">
        <v>768</v>
      </c>
      <c r="C376" s="476" t="s">
        <v>4163</v>
      </c>
      <c r="D376" s="487" t="s">
        <v>2753</v>
      </c>
      <c r="E376" s="503" t="s">
        <v>2754</v>
      </c>
      <c r="F376" s="504" t="s">
        <v>2755</v>
      </c>
      <c r="G376" s="518" t="s">
        <v>3347</v>
      </c>
      <c r="H376" s="519">
        <v>44991</v>
      </c>
      <c r="I376" s="488">
        <f t="shared" si="14"/>
        <v>3893837.8378378376</v>
      </c>
      <c r="J376" s="488">
        <f t="shared" si="15"/>
        <v>428322.16216216213</v>
      </c>
      <c r="K376" s="474">
        <v>4322160</v>
      </c>
      <c r="L376" s="475"/>
    </row>
    <row r="377" spans="1:12" s="520" customFormat="1" x14ac:dyDescent="0.2">
      <c r="A377" s="517">
        <v>6</v>
      </c>
      <c r="B377" s="469" t="s">
        <v>769</v>
      </c>
      <c r="C377" s="476" t="s">
        <v>4164</v>
      </c>
      <c r="D377" s="464" t="s">
        <v>2758</v>
      </c>
      <c r="E377" s="708" t="s">
        <v>2759</v>
      </c>
      <c r="F377" s="466" t="s">
        <v>2755</v>
      </c>
      <c r="G377" s="518" t="s">
        <v>3348</v>
      </c>
      <c r="H377" s="519">
        <v>44991</v>
      </c>
      <c r="I377" s="473">
        <f t="shared" si="14"/>
        <v>9123178.3783783782</v>
      </c>
      <c r="J377" s="473">
        <f t="shared" si="15"/>
        <v>1003549.6216216217</v>
      </c>
      <c r="K377" s="474">
        <v>10126728</v>
      </c>
      <c r="L377" s="475"/>
    </row>
    <row r="378" spans="1:12" s="520" customFormat="1" x14ac:dyDescent="0.2">
      <c r="A378" s="517">
        <v>7</v>
      </c>
      <c r="B378" s="485" t="s">
        <v>770</v>
      </c>
      <c r="C378" s="476" t="s">
        <v>4165</v>
      </c>
      <c r="D378" s="487" t="s">
        <v>2790</v>
      </c>
      <c r="E378" s="503" t="s">
        <v>2791</v>
      </c>
      <c r="F378" s="504" t="s">
        <v>2792</v>
      </c>
      <c r="G378" s="518" t="s">
        <v>3349</v>
      </c>
      <c r="H378" s="519">
        <v>44992</v>
      </c>
      <c r="I378" s="488">
        <f t="shared" si="14"/>
        <v>7162162.1621621614</v>
      </c>
      <c r="J378" s="488">
        <f t="shared" si="15"/>
        <v>787837.83783783775</v>
      </c>
      <c r="K378" s="474">
        <v>7950000</v>
      </c>
      <c r="L378" s="475"/>
    </row>
    <row r="379" spans="1:12" s="520" customFormat="1" x14ac:dyDescent="0.2">
      <c r="A379" s="517">
        <v>8</v>
      </c>
      <c r="B379" s="469" t="s">
        <v>771</v>
      </c>
      <c r="C379" s="476" t="s">
        <v>4166</v>
      </c>
      <c r="D379" s="464" t="s">
        <v>2821</v>
      </c>
      <c r="E379" s="471" t="s">
        <v>2822</v>
      </c>
      <c r="F379" s="471" t="s">
        <v>2823</v>
      </c>
      <c r="G379" s="518" t="s">
        <v>3350</v>
      </c>
      <c r="H379" s="519">
        <v>44993</v>
      </c>
      <c r="I379" s="473">
        <f t="shared" si="14"/>
        <v>2406486.4864864862</v>
      </c>
      <c r="J379" s="473">
        <f t="shared" si="15"/>
        <v>264713.51351351349</v>
      </c>
      <c r="K379" s="474">
        <v>2671200</v>
      </c>
      <c r="L379" s="475"/>
    </row>
    <row r="380" spans="1:12" s="520" customFormat="1" x14ac:dyDescent="0.2">
      <c r="A380" s="517">
        <v>9</v>
      </c>
      <c r="B380" s="485" t="s">
        <v>772</v>
      </c>
      <c r="C380" s="476" t="s">
        <v>4167</v>
      </c>
      <c r="D380" s="464" t="s">
        <v>2821</v>
      </c>
      <c r="E380" s="471" t="s">
        <v>2822</v>
      </c>
      <c r="F380" s="471" t="s">
        <v>2823</v>
      </c>
      <c r="G380" s="518" t="s">
        <v>3351</v>
      </c>
      <c r="H380" s="519">
        <v>44994</v>
      </c>
      <c r="I380" s="488">
        <f t="shared" si="14"/>
        <v>7657432.4324324317</v>
      </c>
      <c r="J380" s="488">
        <f t="shared" si="15"/>
        <v>842317.56756756746</v>
      </c>
      <c r="K380" s="474">
        <v>8499750</v>
      </c>
      <c r="L380" s="475"/>
    </row>
    <row r="381" spans="1:12" s="520" customFormat="1" ht="14.25" customHeight="1" x14ac:dyDescent="0.2">
      <c r="A381" s="517">
        <v>10</v>
      </c>
      <c r="B381" s="469" t="s">
        <v>773</v>
      </c>
      <c r="C381" s="476" t="s">
        <v>4168</v>
      </c>
      <c r="D381" s="487" t="s">
        <v>2753</v>
      </c>
      <c r="E381" s="503" t="s">
        <v>2754</v>
      </c>
      <c r="F381" s="504" t="s">
        <v>2755</v>
      </c>
      <c r="G381" s="518" t="s">
        <v>3352</v>
      </c>
      <c r="H381" s="519">
        <v>44995</v>
      </c>
      <c r="I381" s="473">
        <f t="shared" si="14"/>
        <v>981924.32432432426</v>
      </c>
      <c r="J381" s="473">
        <f t="shared" si="15"/>
        <v>108011.67567567567</v>
      </c>
      <c r="K381" s="474">
        <v>1089936</v>
      </c>
      <c r="L381" s="475"/>
    </row>
    <row r="382" spans="1:12" s="520" customFormat="1" ht="14.25" customHeight="1" x14ac:dyDescent="0.2">
      <c r="A382" s="517">
        <v>11</v>
      </c>
      <c r="B382" s="485" t="s">
        <v>774</v>
      </c>
      <c r="C382" s="476" t="s">
        <v>4169</v>
      </c>
      <c r="D382" s="464" t="s">
        <v>2806</v>
      </c>
      <c r="E382" s="465" t="s">
        <v>2807</v>
      </c>
      <c r="F382" s="466" t="s">
        <v>2808</v>
      </c>
      <c r="G382" s="518" t="s">
        <v>3353</v>
      </c>
      <c r="H382" s="519">
        <v>44996</v>
      </c>
      <c r="I382" s="488">
        <f t="shared" si="14"/>
        <v>1076013.5135135134</v>
      </c>
      <c r="J382" s="488">
        <f t="shared" si="15"/>
        <v>118361.48648648646</v>
      </c>
      <c r="K382" s="474">
        <v>1194375</v>
      </c>
      <c r="L382" s="475"/>
    </row>
    <row r="383" spans="1:12" s="520" customFormat="1" x14ac:dyDescent="0.2">
      <c r="A383" s="517">
        <v>12</v>
      </c>
      <c r="B383" s="469" t="s">
        <v>775</v>
      </c>
      <c r="C383" s="476" t="s">
        <v>4170</v>
      </c>
      <c r="D383" s="464" t="s">
        <v>2758</v>
      </c>
      <c r="E383" s="708" t="s">
        <v>2759</v>
      </c>
      <c r="F383" s="466" t="s">
        <v>2755</v>
      </c>
      <c r="G383" s="518" t="s">
        <v>3354</v>
      </c>
      <c r="H383" s="519">
        <v>44998</v>
      </c>
      <c r="I383" s="473">
        <f t="shared" si="14"/>
        <v>4839324.3243243238</v>
      </c>
      <c r="J383" s="473">
        <f t="shared" si="15"/>
        <v>532325.67567567562</v>
      </c>
      <c r="K383" s="474">
        <v>5371650</v>
      </c>
      <c r="L383" s="475"/>
    </row>
    <row r="384" spans="1:12" s="520" customFormat="1" ht="14.25" customHeight="1" x14ac:dyDescent="0.2">
      <c r="A384" s="517">
        <v>13</v>
      </c>
      <c r="B384" s="485" t="s">
        <v>776</v>
      </c>
      <c r="C384" s="476" t="s">
        <v>4171</v>
      </c>
      <c r="D384" s="487" t="s">
        <v>2753</v>
      </c>
      <c r="E384" s="503" t="s">
        <v>2754</v>
      </c>
      <c r="F384" s="504" t="s">
        <v>2755</v>
      </c>
      <c r="G384" s="518" t="s">
        <v>3355</v>
      </c>
      <c r="H384" s="519">
        <v>44998</v>
      </c>
      <c r="I384" s="488">
        <f t="shared" si="14"/>
        <v>1107956.7567567567</v>
      </c>
      <c r="J384" s="488">
        <f t="shared" si="15"/>
        <v>121875.24324324324</v>
      </c>
      <c r="K384" s="474">
        <v>1229832</v>
      </c>
      <c r="L384" s="475"/>
    </row>
    <row r="385" spans="1:12" s="520" customFormat="1" ht="14.25" customHeight="1" x14ac:dyDescent="0.2">
      <c r="A385" s="517">
        <v>14</v>
      </c>
      <c r="B385" s="469" t="s">
        <v>777</v>
      </c>
      <c r="C385" s="476" t="s">
        <v>4172</v>
      </c>
      <c r="D385" s="487" t="s">
        <v>2790</v>
      </c>
      <c r="E385" s="503" t="s">
        <v>2791</v>
      </c>
      <c r="F385" s="504" t="s">
        <v>2792</v>
      </c>
      <c r="G385" s="518" t="s">
        <v>3356</v>
      </c>
      <c r="H385" s="519">
        <v>44998</v>
      </c>
      <c r="I385" s="473">
        <f t="shared" si="14"/>
        <v>965369.36936936923</v>
      </c>
      <c r="J385" s="473">
        <f t="shared" si="15"/>
        <v>106190.63063063062</v>
      </c>
      <c r="K385" s="474">
        <v>1071560</v>
      </c>
      <c r="L385" s="475"/>
    </row>
    <row r="386" spans="1:12" s="520" customFormat="1" x14ac:dyDescent="0.2">
      <c r="A386" s="517">
        <v>15</v>
      </c>
      <c r="B386" s="485" t="s">
        <v>778</v>
      </c>
      <c r="C386" s="476" t="s">
        <v>4173</v>
      </c>
      <c r="D386" s="464" t="s">
        <v>2758</v>
      </c>
      <c r="E386" s="708" t="s">
        <v>2759</v>
      </c>
      <c r="F386" s="466" t="s">
        <v>2755</v>
      </c>
      <c r="G386" s="518" t="s">
        <v>3357</v>
      </c>
      <c r="H386" s="519">
        <v>44999</v>
      </c>
      <c r="I386" s="488">
        <f t="shared" si="14"/>
        <v>5857686.4864864862</v>
      </c>
      <c r="J386" s="488">
        <f t="shared" si="15"/>
        <v>644345.51351351349</v>
      </c>
      <c r="K386" s="474">
        <v>6502032</v>
      </c>
      <c r="L386" s="475"/>
    </row>
    <row r="387" spans="1:12" s="520" customFormat="1" x14ac:dyDescent="0.2">
      <c r="A387" s="517">
        <v>16</v>
      </c>
      <c r="B387" s="469" t="s">
        <v>779</v>
      </c>
      <c r="C387" s="476" t="s">
        <v>4174</v>
      </c>
      <c r="D387" s="464" t="s">
        <v>2783</v>
      </c>
      <c r="E387" s="465" t="s">
        <v>2784</v>
      </c>
      <c r="F387" s="466" t="s">
        <v>2785</v>
      </c>
      <c r="G387" s="518" t="s">
        <v>3358</v>
      </c>
      <c r="H387" s="519">
        <v>45000</v>
      </c>
      <c r="I387" s="473">
        <f t="shared" si="14"/>
        <v>10104504.504504504</v>
      </c>
      <c r="J387" s="473">
        <f t="shared" si="15"/>
        <v>1111495.4954954954</v>
      </c>
      <c r="K387" s="474">
        <v>11216000</v>
      </c>
      <c r="L387" s="475"/>
    </row>
    <row r="388" spans="1:12" s="520" customFormat="1" x14ac:dyDescent="0.2">
      <c r="A388" s="517">
        <v>17</v>
      </c>
      <c r="B388" s="485" t="s">
        <v>780</v>
      </c>
      <c r="C388" s="476" t="s">
        <v>4175</v>
      </c>
      <c r="D388" s="464" t="s">
        <v>2821</v>
      </c>
      <c r="E388" s="471" t="s">
        <v>2822</v>
      </c>
      <c r="F388" s="471" t="s">
        <v>2823</v>
      </c>
      <c r="G388" s="518" t="s">
        <v>3359</v>
      </c>
      <c r="H388" s="519">
        <v>45000</v>
      </c>
      <c r="I388" s="488">
        <f t="shared" si="14"/>
        <v>25295855.855855852</v>
      </c>
      <c r="J388" s="488">
        <f t="shared" si="15"/>
        <v>2782544.1441441439</v>
      </c>
      <c r="K388" s="474">
        <v>28078400</v>
      </c>
      <c r="L388" s="475"/>
    </row>
    <row r="389" spans="1:12" s="520" customFormat="1" x14ac:dyDescent="0.2">
      <c r="A389" s="517">
        <v>18</v>
      </c>
      <c r="B389" s="469" t="s">
        <v>781</v>
      </c>
      <c r="C389" s="476" t="s">
        <v>4176</v>
      </c>
      <c r="D389" s="464" t="s">
        <v>2783</v>
      </c>
      <c r="E389" s="465" t="s">
        <v>2784</v>
      </c>
      <c r="F389" s="466" t="s">
        <v>2785</v>
      </c>
      <c r="G389" s="518" t="s">
        <v>3360</v>
      </c>
      <c r="H389" s="519">
        <v>45000</v>
      </c>
      <c r="I389" s="473">
        <f t="shared" si="14"/>
        <v>7567567.5675675673</v>
      </c>
      <c r="J389" s="473">
        <f t="shared" si="15"/>
        <v>832432.43243243243</v>
      </c>
      <c r="K389" s="474">
        <v>8400000</v>
      </c>
      <c r="L389" s="475"/>
    </row>
    <row r="390" spans="1:12" s="520" customFormat="1" x14ac:dyDescent="0.2">
      <c r="A390" s="517">
        <v>19</v>
      </c>
      <c r="B390" s="485" t="s">
        <v>782</v>
      </c>
      <c r="C390" s="476" t="s">
        <v>4177</v>
      </c>
      <c r="D390" s="464" t="s">
        <v>2783</v>
      </c>
      <c r="E390" s="465" t="s">
        <v>2784</v>
      </c>
      <c r="F390" s="466" t="s">
        <v>2785</v>
      </c>
      <c r="G390" s="518" t="s">
        <v>3361</v>
      </c>
      <c r="H390" s="477">
        <v>45001</v>
      </c>
      <c r="I390" s="488">
        <f t="shared" si="14"/>
        <v>5708108.1081081079</v>
      </c>
      <c r="J390" s="488">
        <f t="shared" si="15"/>
        <v>627891.89189189184</v>
      </c>
      <c r="K390" s="474">
        <v>6336000</v>
      </c>
      <c r="L390" s="475"/>
    </row>
    <row r="391" spans="1:12" s="520" customFormat="1" x14ac:dyDescent="0.2">
      <c r="A391" s="517">
        <v>20</v>
      </c>
      <c r="B391" s="469" t="s">
        <v>783</v>
      </c>
      <c r="C391" s="476" t="s">
        <v>4178</v>
      </c>
      <c r="D391" s="728" t="s">
        <v>3672</v>
      </c>
      <c r="E391" s="729" t="s">
        <v>3673</v>
      </c>
      <c r="F391" s="730" t="s">
        <v>3052</v>
      </c>
      <c r="G391" s="518" t="s">
        <v>3362</v>
      </c>
      <c r="H391" s="477">
        <v>45002</v>
      </c>
      <c r="I391" s="473">
        <f t="shared" si="14"/>
        <v>14010810.81081081</v>
      </c>
      <c r="J391" s="473">
        <f t="shared" si="15"/>
        <v>1541189.1891891891</v>
      </c>
      <c r="K391" s="474">
        <v>15552000</v>
      </c>
      <c r="L391" s="475"/>
    </row>
    <row r="392" spans="1:12" s="520" customFormat="1" x14ac:dyDescent="0.2">
      <c r="A392" s="517">
        <v>21</v>
      </c>
      <c r="B392" s="485" t="s">
        <v>784</v>
      </c>
      <c r="C392" s="476" t="s">
        <v>4179</v>
      </c>
      <c r="D392" s="464" t="s">
        <v>2779</v>
      </c>
      <c r="E392" s="471" t="s">
        <v>2780</v>
      </c>
      <c r="F392" s="471" t="s">
        <v>2755</v>
      </c>
      <c r="G392" s="518" t="s">
        <v>3363</v>
      </c>
      <c r="H392" s="477">
        <v>45002</v>
      </c>
      <c r="I392" s="488">
        <f t="shared" si="14"/>
        <v>729729.7297297297</v>
      </c>
      <c r="J392" s="488">
        <f t="shared" si="15"/>
        <v>80270.270270270266</v>
      </c>
      <c r="K392" s="474">
        <v>810000</v>
      </c>
      <c r="L392" s="475"/>
    </row>
    <row r="393" spans="1:12" s="520" customFormat="1" x14ac:dyDescent="0.2">
      <c r="A393" s="517">
        <v>22</v>
      </c>
      <c r="B393" s="469" t="s">
        <v>785</v>
      </c>
      <c r="C393" s="476" t="s">
        <v>4180</v>
      </c>
      <c r="D393" s="725" t="s">
        <v>3302</v>
      </c>
      <c r="E393" s="708" t="s">
        <v>3303</v>
      </c>
      <c r="F393" s="727" t="s">
        <v>2873</v>
      </c>
      <c r="G393" s="518" t="s">
        <v>3364</v>
      </c>
      <c r="H393" s="477">
        <v>45002</v>
      </c>
      <c r="I393" s="473">
        <f t="shared" si="14"/>
        <v>1188648.6486486485</v>
      </c>
      <c r="J393" s="473">
        <f t="shared" si="15"/>
        <v>130751.35135135133</v>
      </c>
      <c r="K393" s="474">
        <v>1319400</v>
      </c>
      <c r="L393" s="475"/>
    </row>
    <row r="394" spans="1:12" s="520" customFormat="1" x14ac:dyDescent="0.2">
      <c r="A394" s="517">
        <v>23</v>
      </c>
      <c r="B394" s="485" t="s">
        <v>786</v>
      </c>
      <c r="C394" s="476" t="s">
        <v>4181</v>
      </c>
      <c r="D394" s="511" t="s">
        <v>2773</v>
      </c>
      <c r="E394" s="465" t="s">
        <v>2774</v>
      </c>
      <c r="F394" s="510" t="s">
        <v>2755</v>
      </c>
      <c r="G394" s="518" t="s">
        <v>3365</v>
      </c>
      <c r="H394" s="477">
        <v>45003</v>
      </c>
      <c r="I394" s="488">
        <f t="shared" si="14"/>
        <v>3047351.351351351</v>
      </c>
      <c r="J394" s="488">
        <f t="shared" si="15"/>
        <v>335208.64864864864</v>
      </c>
      <c r="K394" s="474">
        <v>3382560</v>
      </c>
      <c r="L394" s="475"/>
    </row>
    <row r="395" spans="1:12" s="520" customFormat="1" x14ac:dyDescent="0.2">
      <c r="A395" s="517">
        <v>24</v>
      </c>
      <c r="B395" s="469" t="s">
        <v>787</v>
      </c>
      <c r="C395" s="476" t="s">
        <v>4182</v>
      </c>
      <c r="D395" s="464" t="s">
        <v>2758</v>
      </c>
      <c r="E395" s="708" t="s">
        <v>2759</v>
      </c>
      <c r="F395" s="466" t="s">
        <v>2755</v>
      </c>
      <c r="G395" s="518" t="s">
        <v>3366</v>
      </c>
      <c r="H395" s="477">
        <v>45005</v>
      </c>
      <c r="I395" s="473">
        <f t="shared" si="14"/>
        <v>1122162.1621621621</v>
      </c>
      <c r="J395" s="473">
        <f t="shared" si="15"/>
        <v>123437.83783783784</v>
      </c>
      <c r="K395" s="474">
        <v>1245600</v>
      </c>
      <c r="L395" s="475"/>
    </row>
    <row r="396" spans="1:12" s="520" customFormat="1" x14ac:dyDescent="0.2">
      <c r="A396" s="517">
        <v>25</v>
      </c>
      <c r="B396" s="485" t="s">
        <v>788</v>
      </c>
      <c r="C396" s="476" t="s">
        <v>4183</v>
      </c>
      <c r="D396" s="464" t="s">
        <v>2783</v>
      </c>
      <c r="E396" s="465" t="s">
        <v>2784</v>
      </c>
      <c r="F396" s="466" t="s">
        <v>2785</v>
      </c>
      <c r="G396" s="518" t="s">
        <v>3367</v>
      </c>
      <c r="H396" s="477">
        <v>45006</v>
      </c>
      <c r="I396" s="488">
        <f t="shared" si="14"/>
        <v>3064864.8648648644</v>
      </c>
      <c r="J396" s="488">
        <f t="shared" si="15"/>
        <v>337135.13513513509</v>
      </c>
      <c r="K396" s="474">
        <v>3402000</v>
      </c>
      <c r="L396" s="475"/>
    </row>
    <row r="397" spans="1:12" s="521" customFormat="1" x14ac:dyDescent="0.2">
      <c r="A397" s="517">
        <v>26</v>
      </c>
      <c r="B397" s="469" t="s">
        <v>789</v>
      </c>
      <c r="C397" s="476" t="s">
        <v>4184</v>
      </c>
      <c r="D397" s="464" t="s">
        <v>2856</v>
      </c>
      <c r="E397" s="465" t="s">
        <v>2857</v>
      </c>
      <c r="F397" s="466" t="s">
        <v>2858</v>
      </c>
      <c r="G397" s="518" t="s">
        <v>3368</v>
      </c>
      <c r="H397" s="477">
        <v>45008</v>
      </c>
      <c r="I397" s="473">
        <f t="shared" si="14"/>
        <v>1574774.7747747747</v>
      </c>
      <c r="J397" s="473">
        <f t="shared" si="15"/>
        <v>173225.22522522521</v>
      </c>
      <c r="K397" s="474">
        <v>1748000</v>
      </c>
      <c r="L397" s="475"/>
    </row>
    <row r="398" spans="1:12" s="521" customFormat="1" x14ac:dyDescent="0.2">
      <c r="A398" s="517">
        <v>27</v>
      </c>
      <c r="B398" s="485" t="s">
        <v>790</v>
      </c>
      <c r="C398" s="476" t="s">
        <v>4185</v>
      </c>
      <c r="D398" s="464" t="s">
        <v>2871</v>
      </c>
      <c r="E398" s="465" t="s">
        <v>2872</v>
      </c>
      <c r="F398" s="466" t="s">
        <v>2873</v>
      </c>
      <c r="G398" s="518" t="s">
        <v>3369</v>
      </c>
      <c r="H398" s="477">
        <v>45008</v>
      </c>
      <c r="I398" s="488">
        <f t="shared" si="14"/>
        <v>350270.27027027024</v>
      </c>
      <c r="J398" s="488">
        <f t="shared" si="15"/>
        <v>38529.729729729726</v>
      </c>
      <c r="K398" s="474">
        <v>388800</v>
      </c>
      <c r="L398" s="475"/>
    </row>
    <row r="399" spans="1:12" s="521" customFormat="1" x14ac:dyDescent="0.2">
      <c r="A399" s="517">
        <v>28</v>
      </c>
      <c r="B399" s="469" t="s">
        <v>791</v>
      </c>
      <c r="C399" s="476" t="s">
        <v>4186</v>
      </c>
      <c r="D399" s="464" t="s">
        <v>2783</v>
      </c>
      <c r="E399" s="465" t="s">
        <v>2784</v>
      </c>
      <c r="F399" s="466" t="s">
        <v>2785</v>
      </c>
      <c r="G399" s="518" t="s">
        <v>3370</v>
      </c>
      <c r="H399" s="477">
        <v>45008</v>
      </c>
      <c r="I399" s="473">
        <f t="shared" si="14"/>
        <v>58001779.279279277</v>
      </c>
      <c r="J399" s="473">
        <f t="shared" si="15"/>
        <v>6380195.7207207205</v>
      </c>
      <c r="K399" s="474">
        <v>64381975</v>
      </c>
      <c r="L399" s="475"/>
    </row>
    <row r="400" spans="1:12" s="521" customFormat="1" x14ac:dyDescent="0.2">
      <c r="A400" s="517">
        <v>29</v>
      </c>
      <c r="B400" s="485" t="s">
        <v>792</v>
      </c>
      <c r="C400" s="476" t="s">
        <v>4187</v>
      </c>
      <c r="D400" s="725" t="s">
        <v>3302</v>
      </c>
      <c r="E400" s="708" t="s">
        <v>3303</v>
      </c>
      <c r="F400" s="727" t="s">
        <v>2873</v>
      </c>
      <c r="G400" s="518" t="s">
        <v>3371</v>
      </c>
      <c r="H400" s="477">
        <v>45009</v>
      </c>
      <c r="I400" s="488">
        <f t="shared" si="14"/>
        <v>2140540.5405405401</v>
      </c>
      <c r="J400" s="488">
        <f t="shared" si="15"/>
        <v>235459.45945945941</v>
      </c>
      <c r="K400" s="474">
        <v>2376000</v>
      </c>
      <c r="L400" s="475"/>
    </row>
    <row r="401" spans="1:12" s="521" customFormat="1" x14ac:dyDescent="0.2">
      <c r="A401" s="517">
        <v>30</v>
      </c>
      <c r="B401" s="469" t="s">
        <v>793</v>
      </c>
      <c r="C401" s="476" t="s">
        <v>4188</v>
      </c>
      <c r="D401" s="464" t="s">
        <v>2758</v>
      </c>
      <c r="E401" s="708" t="s">
        <v>2759</v>
      </c>
      <c r="F401" s="466" t="s">
        <v>2755</v>
      </c>
      <c r="G401" s="518" t="s">
        <v>3372</v>
      </c>
      <c r="H401" s="477">
        <v>45009</v>
      </c>
      <c r="I401" s="473">
        <f t="shared" si="14"/>
        <v>7653145.9459459456</v>
      </c>
      <c r="J401" s="473">
        <f t="shared" si="15"/>
        <v>841846.05405405397</v>
      </c>
      <c r="K401" s="474">
        <v>8494992</v>
      </c>
      <c r="L401" s="475"/>
    </row>
    <row r="402" spans="1:12" s="521" customFormat="1" x14ac:dyDescent="0.2">
      <c r="A402" s="517">
        <v>31</v>
      </c>
      <c r="B402" s="485" t="s">
        <v>794</v>
      </c>
      <c r="C402" s="476" t="s">
        <v>4189</v>
      </c>
      <c r="D402" s="487" t="s">
        <v>2790</v>
      </c>
      <c r="E402" s="503" t="s">
        <v>2791</v>
      </c>
      <c r="F402" s="504" t="s">
        <v>2792</v>
      </c>
      <c r="G402" s="518" t="s">
        <v>3373</v>
      </c>
      <c r="H402" s="477">
        <v>45009</v>
      </c>
      <c r="I402" s="488">
        <f t="shared" si="14"/>
        <v>2995899.0990990987</v>
      </c>
      <c r="J402" s="488">
        <f t="shared" si="15"/>
        <v>329548.90090090089</v>
      </c>
      <c r="K402" s="474">
        <v>3325448</v>
      </c>
      <c r="L402" s="475"/>
    </row>
    <row r="403" spans="1:12" s="521" customFormat="1" x14ac:dyDescent="0.2">
      <c r="A403" s="517">
        <v>32</v>
      </c>
      <c r="B403" s="469" t="s">
        <v>795</v>
      </c>
      <c r="C403" s="476" t="s">
        <v>4190</v>
      </c>
      <c r="D403" s="487" t="s">
        <v>2826</v>
      </c>
      <c r="E403" s="503" t="s">
        <v>2827</v>
      </c>
      <c r="F403" s="504" t="s">
        <v>2828</v>
      </c>
      <c r="G403" s="518" t="s">
        <v>3374</v>
      </c>
      <c r="H403" s="477">
        <v>45009</v>
      </c>
      <c r="I403" s="473">
        <f t="shared" si="14"/>
        <v>7783783.7837837832</v>
      </c>
      <c r="J403" s="473">
        <f t="shared" si="15"/>
        <v>856216.21621621621</v>
      </c>
      <c r="K403" s="474">
        <v>8640000</v>
      </c>
      <c r="L403" s="475"/>
    </row>
    <row r="404" spans="1:12" s="521" customFormat="1" x14ac:dyDescent="0.2">
      <c r="A404" s="517">
        <v>33</v>
      </c>
      <c r="B404" s="485" t="s">
        <v>796</v>
      </c>
      <c r="C404" s="476" t="s">
        <v>4191</v>
      </c>
      <c r="D404" s="464" t="s">
        <v>2849</v>
      </c>
      <c r="E404" s="471" t="s">
        <v>2850</v>
      </c>
      <c r="F404" s="471" t="s">
        <v>2851</v>
      </c>
      <c r="G404" s="518" t="s">
        <v>3375</v>
      </c>
      <c r="H404" s="477">
        <v>45009</v>
      </c>
      <c r="I404" s="488">
        <f t="shared" si="14"/>
        <v>1362441.4414414414</v>
      </c>
      <c r="J404" s="488">
        <f t="shared" si="15"/>
        <v>149868.55855855855</v>
      </c>
      <c r="K404" s="474">
        <v>1512310</v>
      </c>
      <c r="L404" s="478"/>
    </row>
    <row r="405" spans="1:12" s="521" customFormat="1" x14ac:dyDescent="0.2">
      <c r="A405" s="517">
        <v>34</v>
      </c>
      <c r="B405" s="469" t="s">
        <v>797</v>
      </c>
      <c r="C405" s="476" t="s">
        <v>4192</v>
      </c>
      <c r="D405" s="464" t="s">
        <v>2758</v>
      </c>
      <c r="E405" s="708" t="s">
        <v>2759</v>
      </c>
      <c r="F405" s="466" t="s">
        <v>2755</v>
      </c>
      <c r="G405" s="518" t="s">
        <v>3376</v>
      </c>
      <c r="H405" s="477">
        <v>45014</v>
      </c>
      <c r="I405" s="473">
        <f t="shared" si="14"/>
        <v>3568475.6756756753</v>
      </c>
      <c r="J405" s="473">
        <f t="shared" si="15"/>
        <v>392532.32432432426</v>
      </c>
      <c r="K405" s="474">
        <v>3961008</v>
      </c>
      <c r="L405" s="475"/>
    </row>
    <row r="406" spans="1:12" s="521" customFormat="1" x14ac:dyDescent="0.2">
      <c r="A406" s="517">
        <v>35</v>
      </c>
      <c r="B406" s="485" t="s">
        <v>798</v>
      </c>
      <c r="C406" s="476" t="s">
        <v>4193</v>
      </c>
      <c r="D406" s="511" t="s">
        <v>2773</v>
      </c>
      <c r="E406" s="465" t="s">
        <v>2774</v>
      </c>
      <c r="F406" s="510" t="s">
        <v>2755</v>
      </c>
      <c r="G406" s="518" t="s">
        <v>3377</v>
      </c>
      <c r="H406" s="477">
        <v>45015</v>
      </c>
      <c r="I406" s="488">
        <f t="shared" si="14"/>
        <v>4376432.4324324317</v>
      </c>
      <c r="J406" s="488">
        <f t="shared" si="15"/>
        <v>481407.56756756752</v>
      </c>
      <c r="K406" s="474">
        <v>4857840</v>
      </c>
      <c r="L406" s="475"/>
    </row>
    <row r="407" spans="1:12" s="521" customFormat="1" x14ac:dyDescent="0.2">
      <c r="A407" s="517">
        <v>36</v>
      </c>
      <c r="B407" s="469" t="s">
        <v>799</v>
      </c>
      <c r="C407" s="476" t="s">
        <v>4194</v>
      </c>
      <c r="D407" s="464" t="s">
        <v>2758</v>
      </c>
      <c r="E407" s="708" t="s">
        <v>2759</v>
      </c>
      <c r="F407" s="466" t="s">
        <v>2755</v>
      </c>
      <c r="G407" s="518" t="s">
        <v>3378</v>
      </c>
      <c r="H407" s="477">
        <v>45015</v>
      </c>
      <c r="I407" s="473">
        <f t="shared" si="14"/>
        <v>31753448.648648646</v>
      </c>
      <c r="J407" s="473">
        <f t="shared" si="15"/>
        <v>3492879.351351351</v>
      </c>
      <c r="K407" s="474">
        <v>35246328</v>
      </c>
      <c r="L407" s="475"/>
    </row>
    <row r="408" spans="1:12" s="521" customFormat="1" x14ac:dyDescent="0.2">
      <c r="A408" s="517">
        <v>37</v>
      </c>
      <c r="B408" s="485" t="s">
        <v>800</v>
      </c>
      <c r="C408" s="476" t="s">
        <v>4195</v>
      </c>
      <c r="D408" s="464" t="s">
        <v>2779</v>
      </c>
      <c r="E408" s="471" t="s">
        <v>2780</v>
      </c>
      <c r="F408" s="471" t="s">
        <v>2755</v>
      </c>
      <c r="G408" s="518" t="s">
        <v>3379</v>
      </c>
      <c r="H408" s="477">
        <v>45015</v>
      </c>
      <c r="I408" s="488">
        <f t="shared" si="14"/>
        <v>1926756.7567567567</v>
      </c>
      <c r="J408" s="488">
        <f t="shared" si="15"/>
        <v>211943.24324324323</v>
      </c>
      <c r="K408" s="474">
        <v>2138700</v>
      </c>
      <c r="L408" s="475"/>
    </row>
    <row r="409" spans="1:12" s="521" customFormat="1" x14ac:dyDescent="0.2">
      <c r="A409" s="517">
        <v>38</v>
      </c>
      <c r="B409" s="469" t="s">
        <v>801</v>
      </c>
      <c r="C409" s="476" t="s">
        <v>4196</v>
      </c>
      <c r="D409" s="464" t="s">
        <v>2758</v>
      </c>
      <c r="E409" s="708" t="s">
        <v>2759</v>
      </c>
      <c r="F409" s="466" t="s">
        <v>2755</v>
      </c>
      <c r="G409" s="518" t="s">
        <v>3380</v>
      </c>
      <c r="H409" s="477">
        <v>45015</v>
      </c>
      <c r="I409" s="473">
        <f t="shared" si="14"/>
        <v>9089513.5135135129</v>
      </c>
      <c r="J409" s="473">
        <f t="shared" si="15"/>
        <v>999846.48648648639</v>
      </c>
      <c r="K409" s="474">
        <v>10089360</v>
      </c>
      <c r="L409" s="475"/>
    </row>
    <row r="410" spans="1:12" s="521" customFormat="1" x14ac:dyDescent="0.2">
      <c r="A410" s="517">
        <v>39</v>
      </c>
      <c r="B410" s="485" t="s">
        <v>802</v>
      </c>
      <c r="C410" s="476" t="s">
        <v>4197</v>
      </c>
      <c r="D410" s="487" t="s">
        <v>2753</v>
      </c>
      <c r="E410" s="503" t="s">
        <v>2754</v>
      </c>
      <c r="F410" s="504" t="s">
        <v>2755</v>
      </c>
      <c r="G410" s="518" t="s">
        <v>3381</v>
      </c>
      <c r="H410" s="477">
        <v>45015</v>
      </c>
      <c r="I410" s="488">
        <f t="shared" si="14"/>
        <v>468389.18918918917</v>
      </c>
      <c r="J410" s="488">
        <f t="shared" si="15"/>
        <v>51522.810810810806</v>
      </c>
      <c r="K410" s="474">
        <v>519912</v>
      </c>
      <c r="L410" s="475"/>
    </row>
    <row r="411" spans="1:12" s="521" customFormat="1" x14ac:dyDescent="0.2">
      <c r="A411" s="517">
        <v>40</v>
      </c>
      <c r="B411" s="469" t="s">
        <v>803</v>
      </c>
      <c r="C411" s="476" t="s">
        <v>4198</v>
      </c>
      <c r="D411" s="464" t="s">
        <v>2783</v>
      </c>
      <c r="E411" s="465" t="s">
        <v>2784</v>
      </c>
      <c r="F411" s="466" t="s">
        <v>2785</v>
      </c>
      <c r="G411" s="518" t="s">
        <v>3382</v>
      </c>
      <c r="H411" s="477">
        <v>45016</v>
      </c>
      <c r="I411" s="473">
        <f t="shared" si="14"/>
        <v>18467229.729729727</v>
      </c>
      <c r="J411" s="473">
        <f t="shared" si="15"/>
        <v>2031395.2702702701</v>
      </c>
      <c r="K411" s="474">
        <v>20498625</v>
      </c>
      <c r="L411" s="475"/>
    </row>
    <row r="412" spans="1:12" s="521" customFormat="1" x14ac:dyDescent="0.2">
      <c r="A412" s="517">
        <v>41</v>
      </c>
      <c r="B412" s="485" t="s">
        <v>804</v>
      </c>
      <c r="C412" s="476" t="s">
        <v>4199</v>
      </c>
      <c r="D412" s="487" t="s">
        <v>2790</v>
      </c>
      <c r="E412" s="503" t="s">
        <v>2791</v>
      </c>
      <c r="F412" s="504" t="s">
        <v>2792</v>
      </c>
      <c r="G412" s="518" t="s">
        <v>3383</v>
      </c>
      <c r="H412" s="477">
        <v>45016</v>
      </c>
      <c r="I412" s="488">
        <f t="shared" si="14"/>
        <v>1069189.1891891891</v>
      </c>
      <c r="J412" s="488">
        <f t="shared" si="15"/>
        <v>117610.8108108108</v>
      </c>
      <c r="K412" s="474">
        <v>1186800</v>
      </c>
      <c r="L412" s="475"/>
    </row>
    <row r="413" spans="1:12" s="521" customFormat="1" x14ac:dyDescent="0.2">
      <c r="A413" s="517">
        <v>42</v>
      </c>
      <c r="B413" s="469" t="s">
        <v>805</v>
      </c>
      <c r="C413" s="476" t="s">
        <v>4200</v>
      </c>
      <c r="D413" s="464" t="s">
        <v>2758</v>
      </c>
      <c r="E413" s="708" t="s">
        <v>2759</v>
      </c>
      <c r="F413" s="466" t="s">
        <v>2755</v>
      </c>
      <c r="G413" s="518" t="s">
        <v>3384</v>
      </c>
      <c r="H413" s="477">
        <v>45016</v>
      </c>
      <c r="I413" s="473">
        <f t="shared" si="14"/>
        <v>6623221.6216216208</v>
      </c>
      <c r="J413" s="473">
        <f t="shared" si="15"/>
        <v>728554.37837837834</v>
      </c>
      <c r="K413" s="474">
        <v>7351776</v>
      </c>
      <c r="L413" s="475"/>
    </row>
    <row r="414" spans="1:12" s="521" customFormat="1" x14ac:dyDescent="0.2">
      <c r="A414" s="517">
        <v>43</v>
      </c>
      <c r="B414" s="485" t="s">
        <v>806</v>
      </c>
      <c r="C414" s="476" t="s">
        <v>4201</v>
      </c>
      <c r="D414" s="464" t="s">
        <v>2758</v>
      </c>
      <c r="E414" s="708" t="s">
        <v>2759</v>
      </c>
      <c r="F414" s="466" t="s">
        <v>2755</v>
      </c>
      <c r="G414" s="518" t="s">
        <v>3385</v>
      </c>
      <c r="H414" s="477">
        <v>45016</v>
      </c>
      <c r="I414" s="488">
        <f t="shared" si="14"/>
        <v>4685027.0270270268</v>
      </c>
      <c r="J414" s="488">
        <f t="shared" si="15"/>
        <v>515352.97297297296</v>
      </c>
      <c r="K414" s="474">
        <v>5200380</v>
      </c>
      <c r="L414" s="475"/>
    </row>
    <row r="415" spans="1:12" s="521" customFormat="1" x14ac:dyDescent="0.2">
      <c r="A415" s="517">
        <v>44</v>
      </c>
      <c r="B415" s="469" t="s">
        <v>807</v>
      </c>
      <c r="C415" s="476" t="s">
        <v>4202</v>
      </c>
      <c r="D415" s="464" t="s">
        <v>2821</v>
      </c>
      <c r="E415" s="471" t="s">
        <v>2822</v>
      </c>
      <c r="F415" s="471" t="s">
        <v>2823</v>
      </c>
      <c r="G415" s="518" t="s">
        <v>3386</v>
      </c>
      <c r="H415" s="477">
        <v>45016</v>
      </c>
      <c r="I415" s="473">
        <f t="shared" si="14"/>
        <v>8263783.7837837832</v>
      </c>
      <c r="J415" s="473">
        <f t="shared" si="15"/>
        <v>909016.21621621621</v>
      </c>
      <c r="K415" s="474">
        <v>9172800</v>
      </c>
      <c r="L415" s="475"/>
    </row>
    <row r="416" spans="1:12" x14ac:dyDescent="0.2">
      <c r="A416" s="305">
        <v>45</v>
      </c>
      <c r="B416" s="485" t="s">
        <v>808</v>
      </c>
      <c r="C416" s="476" t="s">
        <v>3911</v>
      </c>
      <c r="D416" s="464"/>
      <c r="E416" s="465" t="s">
        <v>3030</v>
      </c>
      <c r="F416" s="466" t="s">
        <v>2892</v>
      </c>
      <c r="G416" s="518"/>
      <c r="H416" s="477">
        <v>44993</v>
      </c>
      <c r="I416" s="488">
        <f t="shared" si="14"/>
        <v>3702576.5765765761</v>
      </c>
      <c r="J416" s="488">
        <f t="shared" si="15"/>
        <v>407283.42342342337</v>
      </c>
      <c r="K416" s="474">
        <f>826785+3283075</f>
        <v>4109860</v>
      </c>
      <c r="L416" s="475"/>
    </row>
    <row r="417" spans="1:12" x14ac:dyDescent="0.2">
      <c r="A417" s="305">
        <v>46</v>
      </c>
      <c r="B417" s="469" t="s">
        <v>809</v>
      </c>
      <c r="C417" s="476" t="s">
        <v>3971</v>
      </c>
      <c r="D417" s="464"/>
      <c r="E417" s="465" t="s">
        <v>2939</v>
      </c>
      <c r="F417" s="466" t="s">
        <v>2940</v>
      </c>
      <c r="G417" s="518"/>
      <c r="H417" s="477">
        <v>44987</v>
      </c>
      <c r="I417" s="473">
        <f t="shared" si="14"/>
        <v>11534643.243243242</v>
      </c>
      <c r="J417" s="473">
        <f t="shared" si="15"/>
        <v>1268810.7567567567</v>
      </c>
      <c r="K417" s="474">
        <f>2871090+6108804+3823560</f>
        <v>12803454</v>
      </c>
      <c r="L417" s="475"/>
    </row>
    <row r="418" spans="1:12" x14ac:dyDescent="0.2">
      <c r="A418" s="305">
        <v>47</v>
      </c>
      <c r="B418" s="485" t="s">
        <v>810</v>
      </c>
      <c r="C418" s="476" t="s">
        <v>3941</v>
      </c>
      <c r="D418" s="464"/>
      <c r="E418" s="465" t="s">
        <v>3164</v>
      </c>
      <c r="F418" s="466" t="s">
        <v>2928</v>
      </c>
      <c r="G418" s="518"/>
      <c r="H418" s="477">
        <v>44987</v>
      </c>
      <c r="I418" s="488">
        <f t="shared" si="14"/>
        <v>5536086.4864864862</v>
      </c>
      <c r="J418" s="488">
        <f t="shared" si="15"/>
        <v>608969.51351351349</v>
      </c>
      <c r="K418" s="474">
        <f>2693250+1752750+1699056</f>
        <v>6145056</v>
      </c>
      <c r="L418" s="475"/>
    </row>
    <row r="419" spans="1:12" x14ac:dyDescent="0.2">
      <c r="A419" s="305">
        <v>48</v>
      </c>
      <c r="B419" s="469" t="s">
        <v>811</v>
      </c>
      <c r="C419" s="476" t="s">
        <v>3910</v>
      </c>
      <c r="D419" s="464"/>
      <c r="E419" s="465" t="s">
        <v>2907</v>
      </c>
      <c r="F419" s="466" t="s">
        <v>2858</v>
      </c>
      <c r="G419" s="518"/>
      <c r="H419" s="477">
        <v>44988</v>
      </c>
      <c r="I419" s="473">
        <f t="shared" si="14"/>
        <v>33117924.324324321</v>
      </c>
      <c r="J419" s="473">
        <f t="shared" si="15"/>
        <v>3642971.6756756753</v>
      </c>
      <c r="K419" s="474">
        <f>30311460+3180600+3268836</f>
        <v>36760896</v>
      </c>
      <c r="L419" s="475"/>
    </row>
    <row r="420" spans="1:12" x14ac:dyDescent="0.2">
      <c r="A420" s="305">
        <v>49</v>
      </c>
      <c r="B420" s="485" t="s">
        <v>812</v>
      </c>
      <c r="C420" s="476" t="s">
        <v>3891</v>
      </c>
      <c r="D420" s="464"/>
      <c r="E420" s="465" t="s">
        <v>2943</v>
      </c>
      <c r="F420" s="466" t="s">
        <v>2944</v>
      </c>
      <c r="G420" s="464"/>
      <c r="H420" s="477">
        <v>44987</v>
      </c>
      <c r="I420" s="488">
        <f t="shared" si="14"/>
        <v>129774.77477477476</v>
      </c>
      <c r="J420" s="488">
        <f t="shared" si="15"/>
        <v>14275.225225225224</v>
      </c>
      <c r="K420" s="474">
        <v>144050</v>
      </c>
      <c r="L420" s="475"/>
    </row>
    <row r="421" spans="1:12" x14ac:dyDescent="0.2">
      <c r="A421" s="305">
        <v>50</v>
      </c>
      <c r="B421" s="469" t="s">
        <v>813</v>
      </c>
      <c r="C421" s="476" t="s">
        <v>3995</v>
      </c>
      <c r="D421" s="464"/>
      <c r="E421" s="465" t="s">
        <v>2927</v>
      </c>
      <c r="F421" s="466" t="s">
        <v>2928</v>
      </c>
      <c r="G421" s="464"/>
      <c r="H421" s="477">
        <v>44988</v>
      </c>
      <c r="I421" s="473">
        <f t="shared" si="14"/>
        <v>5086115.3153153146</v>
      </c>
      <c r="J421" s="473">
        <f t="shared" si="15"/>
        <v>559472.68468468462</v>
      </c>
      <c r="K421" s="474">
        <f>3125196+1400000+1120392</f>
        <v>5645588</v>
      </c>
      <c r="L421" s="475"/>
    </row>
    <row r="422" spans="1:12" x14ac:dyDescent="0.2">
      <c r="A422" s="305">
        <v>51</v>
      </c>
      <c r="B422" s="485" t="s">
        <v>814</v>
      </c>
      <c r="C422" s="476" t="s">
        <v>3977</v>
      </c>
      <c r="D422" s="464"/>
      <c r="E422" s="465" t="s">
        <v>2913</v>
      </c>
      <c r="F422" s="466" t="s">
        <v>2879</v>
      </c>
      <c r="G422" s="464"/>
      <c r="H422" s="477">
        <v>44988</v>
      </c>
      <c r="I422" s="488">
        <f t="shared" si="14"/>
        <v>1996540.5405405404</v>
      </c>
      <c r="J422" s="488">
        <f t="shared" si="15"/>
        <v>219619.45945945944</v>
      </c>
      <c r="K422" s="474">
        <f>554040+1662120</f>
        <v>2216160</v>
      </c>
      <c r="L422" s="475"/>
    </row>
    <row r="423" spans="1:12" x14ac:dyDescent="0.2">
      <c r="A423" s="305">
        <v>52</v>
      </c>
      <c r="B423" s="469" t="s">
        <v>815</v>
      </c>
      <c r="C423" s="476" t="s">
        <v>3964</v>
      </c>
      <c r="D423" s="464"/>
      <c r="E423" s="465" t="s">
        <v>6909</v>
      </c>
      <c r="F423" s="466" t="s">
        <v>2886</v>
      </c>
      <c r="G423" s="464"/>
      <c r="H423" s="477">
        <v>44988</v>
      </c>
      <c r="I423" s="473">
        <f t="shared" si="14"/>
        <v>4291175.6756756753</v>
      </c>
      <c r="J423" s="473">
        <f t="shared" si="15"/>
        <v>472029.32432432426</v>
      </c>
      <c r="K423" s="474">
        <f>2075085+1580040+1108080</f>
        <v>4763205</v>
      </c>
      <c r="L423" s="475"/>
    </row>
    <row r="424" spans="1:12" x14ac:dyDescent="0.2">
      <c r="A424" s="305">
        <v>53</v>
      </c>
      <c r="B424" s="485" t="s">
        <v>816</v>
      </c>
      <c r="C424" s="476" t="s">
        <v>3976</v>
      </c>
      <c r="D424" s="464"/>
      <c r="E424" s="471" t="s">
        <v>3471</v>
      </c>
      <c r="F424" s="471" t="s">
        <v>3472</v>
      </c>
      <c r="G424" s="464"/>
      <c r="H424" s="472">
        <v>44988</v>
      </c>
      <c r="I424" s="488">
        <f t="shared" si="14"/>
        <v>7733821.6216216208</v>
      </c>
      <c r="J424" s="488">
        <f t="shared" si="15"/>
        <v>850720.37837837834</v>
      </c>
      <c r="K424" s="474">
        <f>5460372+3124170</f>
        <v>8584542</v>
      </c>
      <c r="L424" s="475"/>
    </row>
    <row r="425" spans="1:12" x14ac:dyDescent="0.2">
      <c r="A425" s="305">
        <v>54</v>
      </c>
      <c r="B425" s="469" t="s">
        <v>817</v>
      </c>
      <c r="C425" s="476" t="s">
        <v>3978</v>
      </c>
      <c r="D425" s="464"/>
      <c r="E425" s="465" t="s">
        <v>2918</v>
      </c>
      <c r="F425" s="466" t="s">
        <v>2919</v>
      </c>
      <c r="G425" s="464"/>
      <c r="H425" s="477">
        <v>44989</v>
      </c>
      <c r="I425" s="473">
        <f t="shared" si="14"/>
        <v>6194345.9459459456</v>
      </c>
      <c r="J425" s="473">
        <f t="shared" si="15"/>
        <v>681378.05405405397</v>
      </c>
      <c r="K425" s="474">
        <f>2227275+1969920+2678529</f>
        <v>6875724</v>
      </c>
      <c r="L425" s="475"/>
    </row>
    <row r="426" spans="1:12" x14ac:dyDescent="0.2">
      <c r="A426" s="305">
        <v>55</v>
      </c>
      <c r="B426" s="485" t="s">
        <v>818</v>
      </c>
      <c r="C426" s="476" t="s">
        <v>3901</v>
      </c>
      <c r="D426" s="464"/>
      <c r="E426" s="465" t="s">
        <v>3516</v>
      </c>
      <c r="F426" s="466" t="s">
        <v>2858</v>
      </c>
      <c r="G426" s="464"/>
      <c r="H426" s="477">
        <v>44989</v>
      </c>
      <c r="I426" s="488">
        <f t="shared" si="14"/>
        <v>564486.48648648639</v>
      </c>
      <c r="J426" s="488">
        <f t="shared" si="15"/>
        <v>62093.513513513506</v>
      </c>
      <c r="K426" s="474">
        <f>288000+338580</f>
        <v>626580</v>
      </c>
      <c r="L426" s="475"/>
    </row>
    <row r="427" spans="1:12" x14ac:dyDescent="0.2">
      <c r="A427" s="305">
        <v>56</v>
      </c>
      <c r="B427" s="469" t="s">
        <v>819</v>
      </c>
      <c r="C427" s="476" t="s">
        <v>3996</v>
      </c>
      <c r="D427" s="464"/>
      <c r="E427" s="479" t="s">
        <v>2956</v>
      </c>
      <c r="F427" s="466" t="s">
        <v>2755</v>
      </c>
      <c r="G427" s="464"/>
      <c r="H427" s="477">
        <v>44989</v>
      </c>
      <c r="I427" s="473">
        <f t="shared" si="14"/>
        <v>3136862.1621621619</v>
      </c>
      <c r="J427" s="473">
        <f t="shared" si="15"/>
        <v>345054.83783783781</v>
      </c>
      <c r="K427" s="474">
        <f>1016525+2465392</f>
        <v>3481917</v>
      </c>
      <c r="L427" s="475"/>
    </row>
    <row r="428" spans="1:12" x14ac:dyDescent="0.2">
      <c r="A428" s="305">
        <v>57</v>
      </c>
      <c r="B428" s="485" t="s">
        <v>820</v>
      </c>
      <c r="C428" s="476" t="s">
        <v>3892</v>
      </c>
      <c r="D428" s="464"/>
      <c r="E428" s="465" t="s">
        <v>3450</v>
      </c>
      <c r="F428" s="466" t="s">
        <v>2873</v>
      </c>
      <c r="G428" s="464"/>
      <c r="H428" s="477">
        <v>44991</v>
      </c>
      <c r="I428" s="488">
        <f t="shared" si="14"/>
        <v>756756.75675675669</v>
      </c>
      <c r="J428" s="488">
        <f t="shared" si="15"/>
        <v>83243.24324324324</v>
      </c>
      <c r="K428" s="474">
        <v>840000</v>
      </c>
      <c r="L428" s="475"/>
    </row>
    <row r="429" spans="1:12" x14ac:dyDescent="0.2">
      <c r="A429" s="305">
        <v>58</v>
      </c>
      <c r="B429" s="469" t="s">
        <v>821</v>
      </c>
      <c r="C429" s="476" t="s">
        <v>3893</v>
      </c>
      <c r="D429" s="464"/>
      <c r="E429" s="465" t="s">
        <v>3146</v>
      </c>
      <c r="F429" s="466" t="s">
        <v>3147</v>
      </c>
      <c r="G429" s="464"/>
      <c r="H429" s="477">
        <v>44991</v>
      </c>
      <c r="I429" s="473">
        <f t="shared" si="14"/>
        <v>741770.27027027018</v>
      </c>
      <c r="J429" s="473">
        <f t="shared" si="15"/>
        <v>81594.729729729719</v>
      </c>
      <c r="K429" s="474">
        <v>823365</v>
      </c>
      <c r="L429" s="475"/>
    </row>
    <row r="430" spans="1:12" x14ac:dyDescent="0.2">
      <c r="A430" s="305">
        <v>59</v>
      </c>
      <c r="B430" s="485" t="s">
        <v>822</v>
      </c>
      <c r="C430" s="476" t="s">
        <v>3912</v>
      </c>
      <c r="D430" s="464"/>
      <c r="E430" s="465" t="s">
        <v>2936</v>
      </c>
      <c r="F430" s="466" t="s">
        <v>2922</v>
      </c>
      <c r="G430" s="464"/>
      <c r="H430" s="477">
        <v>44991</v>
      </c>
      <c r="I430" s="488">
        <f t="shared" si="14"/>
        <v>13945127.027027026</v>
      </c>
      <c r="J430" s="488">
        <f t="shared" si="15"/>
        <v>1533963.9729729728</v>
      </c>
      <c r="K430" s="474">
        <f>2333979+11898522+1246590</f>
        <v>15479091</v>
      </c>
      <c r="L430" s="475"/>
    </row>
    <row r="431" spans="1:12" x14ac:dyDescent="0.2">
      <c r="A431" s="305">
        <v>60</v>
      </c>
      <c r="B431" s="469" t="s">
        <v>823</v>
      </c>
      <c r="C431" s="476" t="s">
        <v>3897</v>
      </c>
      <c r="D431" s="464"/>
      <c r="E431" s="465" t="s">
        <v>2948</v>
      </c>
      <c r="F431" s="466" t="s">
        <v>2892</v>
      </c>
      <c r="G431" s="464"/>
      <c r="H431" s="477">
        <v>44988</v>
      </c>
      <c r="I431" s="473">
        <f t="shared" si="14"/>
        <v>3562499.9999999995</v>
      </c>
      <c r="J431" s="473">
        <f t="shared" si="15"/>
        <v>391874.99999999994</v>
      </c>
      <c r="K431" s="474">
        <f>897750+1303875+1752750</f>
        <v>3954375</v>
      </c>
      <c r="L431" s="475"/>
    </row>
    <row r="432" spans="1:12" x14ac:dyDescent="0.2">
      <c r="A432" s="305">
        <v>61</v>
      </c>
      <c r="B432" s="485" t="s">
        <v>824</v>
      </c>
      <c r="C432" s="476" t="s">
        <v>4012</v>
      </c>
      <c r="D432" s="464"/>
      <c r="E432" s="465" t="s">
        <v>2974</v>
      </c>
      <c r="F432" s="466" t="s">
        <v>2755</v>
      </c>
      <c r="G432" s="464"/>
      <c r="H432" s="477">
        <v>44989</v>
      </c>
      <c r="I432" s="488">
        <f t="shared" si="14"/>
        <v>2028378.3783783782</v>
      </c>
      <c r="J432" s="488">
        <f t="shared" si="15"/>
        <v>223121.6216216216</v>
      </c>
      <c r="K432" s="474">
        <f>589500+1662000</f>
        <v>2251500</v>
      </c>
      <c r="L432" s="475"/>
    </row>
    <row r="433" spans="1:12" x14ac:dyDescent="0.2">
      <c r="A433" s="305">
        <v>62</v>
      </c>
      <c r="B433" s="469" t="s">
        <v>825</v>
      </c>
      <c r="C433" s="476" t="s">
        <v>3948</v>
      </c>
      <c r="D433" s="464"/>
      <c r="E433" s="465" t="s">
        <v>2907</v>
      </c>
      <c r="F433" s="466" t="s">
        <v>2908</v>
      </c>
      <c r="G433" s="464"/>
      <c r="H433" s="477">
        <v>44992</v>
      </c>
      <c r="I433" s="473">
        <f t="shared" si="14"/>
        <v>9530643.2432432417</v>
      </c>
      <c r="J433" s="473">
        <f t="shared" si="15"/>
        <v>1048370.7567567566</v>
      </c>
      <c r="K433" s="474">
        <f>2510271+5575563+2493180</f>
        <v>10579014</v>
      </c>
      <c r="L433" s="475"/>
    </row>
    <row r="434" spans="1:12" x14ac:dyDescent="0.2">
      <c r="A434" s="305">
        <v>63</v>
      </c>
      <c r="B434" s="485" t="s">
        <v>826</v>
      </c>
      <c r="C434" s="476" t="s">
        <v>3894</v>
      </c>
      <c r="D434" s="464"/>
      <c r="E434" s="465" t="s">
        <v>3151</v>
      </c>
      <c r="F434" s="466" t="s">
        <v>2994</v>
      </c>
      <c r="G434" s="464"/>
      <c r="H434" s="477">
        <v>44992</v>
      </c>
      <c r="I434" s="488">
        <f t="shared" si="14"/>
        <v>4192735.1351351347</v>
      </c>
      <c r="J434" s="488">
        <f t="shared" si="15"/>
        <v>461200.86486486479</v>
      </c>
      <c r="K434" s="474">
        <v>4653936</v>
      </c>
      <c r="L434" s="475"/>
    </row>
    <row r="435" spans="1:12" x14ac:dyDescent="0.2">
      <c r="A435" s="305">
        <v>64</v>
      </c>
      <c r="B435" s="469" t="s">
        <v>827</v>
      </c>
      <c r="C435" s="476" t="s">
        <v>3988</v>
      </c>
      <c r="D435" s="464"/>
      <c r="E435" s="465" t="s">
        <v>2954</v>
      </c>
      <c r="F435" s="466" t="s">
        <v>2955</v>
      </c>
      <c r="G435" s="464"/>
      <c r="H435" s="477">
        <v>44988</v>
      </c>
      <c r="I435" s="473">
        <f t="shared" si="14"/>
        <v>8279818.9189189179</v>
      </c>
      <c r="J435" s="473">
        <f t="shared" si="15"/>
        <v>910780.08108108095</v>
      </c>
      <c r="K435" s="474">
        <f>1246590+211356+7732653</f>
        <v>9190599</v>
      </c>
      <c r="L435" s="475"/>
    </row>
    <row r="436" spans="1:12" x14ac:dyDescent="0.2">
      <c r="A436" s="305">
        <v>65</v>
      </c>
      <c r="B436" s="485" t="s">
        <v>828</v>
      </c>
      <c r="C436" s="476" t="s">
        <v>3895</v>
      </c>
      <c r="D436" s="464"/>
      <c r="E436" s="465" t="s">
        <v>3085</v>
      </c>
      <c r="F436" s="466" t="s">
        <v>2982</v>
      </c>
      <c r="G436" s="464"/>
      <c r="H436" s="477">
        <v>44988</v>
      </c>
      <c r="I436" s="488">
        <f t="shared" si="14"/>
        <v>2525254.054054054</v>
      </c>
      <c r="J436" s="488">
        <f t="shared" si="15"/>
        <v>277777.94594594592</v>
      </c>
      <c r="K436" s="474">
        <v>2803032</v>
      </c>
      <c r="L436" s="475"/>
    </row>
    <row r="437" spans="1:12" x14ac:dyDescent="0.2">
      <c r="A437" s="305">
        <v>66</v>
      </c>
      <c r="B437" s="469" t="s">
        <v>829</v>
      </c>
      <c r="C437" s="476" t="s">
        <v>3896</v>
      </c>
      <c r="D437" s="464"/>
      <c r="E437" s="465" t="s">
        <v>2996</v>
      </c>
      <c r="F437" s="466" t="s">
        <v>2785</v>
      </c>
      <c r="G437" s="464"/>
      <c r="H437" s="477">
        <v>44988</v>
      </c>
      <c r="I437" s="473">
        <f t="shared" si="14"/>
        <v>898443.2432432432</v>
      </c>
      <c r="J437" s="473">
        <f t="shared" si="15"/>
        <v>98828.756756756746</v>
      </c>
      <c r="K437" s="474">
        <v>997272</v>
      </c>
      <c r="L437" s="475"/>
    </row>
    <row r="438" spans="1:12" x14ac:dyDescent="0.2">
      <c r="A438" s="305">
        <v>67</v>
      </c>
      <c r="B438" s="485" t="s">
        <v>830</v>
      </c>
      <c r="C438" s="476" t="s">
        <v>3949</v>
      </c>
      <c r="D438" s="464"/>
      <c r="E438" s="465" t="s">
        <v>2937</v>
      </c>
      <c r="F438" s="466" t="s">
        <v>2823</v>
      </c>
      <c r="G438" s="464"/>
      <c r="H438" s="477">
        <v>44994</v>
      </c>
      <c r="I438" s="488">
        <f t="shared" ref="I438:I501" si="16">K438/1.11</f>
        <v>13211675.675675675</v>
      </c>
      <c r="J438" s="488">
        <f t="shared" ref="J438:J501" si="17">I438*11%</f>
        <v>1453284.3243243243</v>
      </c>
      <c r="K438" s="474">
        <f>8259300+3242160+3163500</f>
        <v>14664960</v>
      </c>
      <c r="L438" s="475"/>
    </row>
    <row r="439" spans="1:12" x14ac:dyDescent="0.2">
      <c r="A439" s="305">
        <v>68</v>
      </c>
      <c r="B439" s="469" t="s">
        <v>831</v>
      </c>
      <c r="C439" s="476" t="s">
        <v>3983</v>
      </c>
      <c r="D439" s="464"/>
      <c r="E439" s="465" t="s">
        <v>2906</v>
      </c>
      <c r="F439" s="466" t="s">
        <v>2892</v>
      </c>
      <c r="G439" s="464"/>
      <c r="H439" s="477">
        <v>44988</v>
      </c>
      <c r="I439" s="473">
        <f t="shared" si="16"/>
        <v>5137702.702702702</v>
      </c>
      <c r="J439" s="473">
        <f t="shared" si="17"/>
        <v>565147.29729729728</v>
      </c>
      <c r="K439" s="474">
        <f>1752750+1385100+2565000</f>
        <v>5702850</v>
      </c>
      <c r="L439" s="475"/>
    </row>
    <row r="440" spans="1:12" x14ac:dyDescent="0.2">
      <c r="A440" s="305">
        <v>69</v>
      </c>
      <c r="B440" s="485" t="s">
        <v>832</v>
      </c>
      <c r="C440" s="476" t="s">
        <v>3898</v>
      </c>
      <c r="D440" s="464"/>
      <c r="E440" s="465" t="s">
        <v>3527</v>
      </c>
      <c r="F440" s="466" t="s">
        <v>2922</v>
      </c>
      <c r="G440" s="464"/>
      <c r="H440" s="477">
        <v>44988</v>
      </c>
      <c r="I440" s="488">
        <f t="shared" si="16"/>
        <v>532410.81081081077</v>
      </c>
      <c r="J440" s="488">
        <f t="shared" si="17"/>
        <v>58565.189189189186</v>
      </c>
      <c r="K440" s="474">
        <v>590976</v>
      </c>
      <c r="L440" s="475"/>
    </row>
    <row r="441" spans="1:12" x14ac:dyDescent="0.2">
      <c r="A441" s="305">
        <v>70</v>
      </c>
      <c r="B441" s="469" t="s">
        <v>833</v>
      </c>
      <c r="C441" s="476" t="s">
        <v>3925</v>
      </c>
      <c r="D441" s="464"/>
      <c r="E441" s="465" t="s">
        <v>2894</v>
      </c>
      <c r="F441" s="466" t="s">
        <v>2851</v>
      </c>
      <c r="G441" s="464"/>
      <c r="H441" s="477">
        <v>44989</v>
      </c>
      <c r="I441" s="473">
        <f t="shared" si="16"/>
        <v>18680594.594594594</v>
      </c>
      <c r="J441" s="473">
        <f t="shared" si="17"/>
        <v>2054865.4054054054</v>
      </c>
      <c r="K441" s="474">
        <f>13370832+7364628</f>
        <v>20735460</v>
      </c>
      <c r="L441" s="475"/>
    </row>
    <row r="442" spans="1:12" x14ac:dyDescent="0.2">
      <c r="A442" s="305">
        <v>71</v>
      </c>
      <c r="B442" s="485" t="s">
        <v>834</v>
      </c>
      <c r="C442" s="476" t="s">
        <v>4054</v>
      </c>
      <c r="D442" s="464"/>
      <c r="E442" s="465" t="s">
        <v>2895</v>
      </c>
      <c r="F442" s="466" t="s">
        <v>2890</v>
      </c>
      <c r="G442" s="464"/>
      <c r="H442" s="477">
        <v>44989</v>
      </c>
      <c r="I442" s="488">
        <f t="shared" si="16"/>
        <v>9754394.5945945941</v>
      </c>
      <c r="J442" s="488">
        <f t="shared" si="17"/>
        <v>1072983.4054054054</v>
      </c>
      <c r="K442" s="474">
        <f>5315706+2298240+3213432</f>
        <v>10827378</v>
      </c>
      <c r="L442" s="475"/>
    </row>
    <row r="443" spans="1:12" x14ac:dyDescent="0.2">
      <c r="A443" s="305">
        <v>72</v>
      </c>
      <c r="B443" s="469" t="s">
        <v>835</v>
      </c>
      <c r="C443" s="476" t="s">
        <v>4037</v>
      </c>
      <c r="D443" s="464"/>
      <c r="E443" s="465" t="s">
        <v>3138</v>
      </c>
      <c r="F443" s="466" t="s">
        <v>3077</v>
      </c>
      <c r="G443" s="464"/>
      <c r="H443" s="477">
        <v>44989</v>
      </c>
      <c r="I443" s="473">
        <f t="shared" si="16"/>
        <v>9054054.0540540535</v>
      </c>
      <c r="J443" s="473">
        <f t="shared" si="17"/>
        <v>995945.94594594592</v>
      </c>
      <c r="K443" s="474">
        <f>2100000+7950000</f>
        <v>10050000</v>
      </c>
      <c r="L443" s="475"/>
    </row>
    <row r="444" spans="1:12" x14ac:dyDescent="0.2">
      <c r="A444" s="305">
        <v>73</v>
      </c>
      <c r="B444" s="485" t="s">
        <v>836</v>
      </c>
      <c r="C444" s="476" t="s">
        <v>4051</v>
      </c>
      <c r="D444" s="464"/>
      <c r="E444" s="471" t="s">
        <v>3014</v>
      </c>
      <c r="F444" s="471" t="s">
        <v>3006</v>
      </c>
      <c r="G444" s="464"/>
      <c r="H444" s="472">
        <v>44989</v>
      </c>
      <c r="I444" s="488">
        <f t="shared" si="16"/>
        <v>3216986.4864864862</v>
      </c>
      <c r="J444" s="488">
        <f t="shared" si="17"/>
        <v>353868.51351351349</v>
      </c>
      <c r="K444" s="474">
        <f>764199+2806656</f>
        <v>3570855</v>
      </c>
      <c r="L444" s="475"/>
    </row>
    <row r="445" spans="1:12" x14ac:dyDescent="0.2">
      <c r="A445" s="305">
        <v>74</v>
      </c>
      <c r="B445" s="469" t="s">
        <v>837</v>
      </c>
      <c r="C445" s="476" t="s">
        <v>4052</v>
      </c>
      <c r="D445" s="464"/>
      <c r="E445" s="465" t="s">
        <v>2995</v>
      </c>
      <c r="F445" s="466" t="s">
        <v>2755</v>
      </c>
      <c r="G445" s="464"/>
      <c r="H445" s="477">
        <v>44989</v>
      </c>
      <c r="I445" s="473">
        <f t="shared" si="16"/>
        <v>4983783.7837837832</v>
      </c>
      <c r="J445" s="473">
        <f t="shared" si="17"/>
        <v>548216.21621621621</v>
      </c>
      <c r="K445" s="474">
        <f>756000+2184000+2592000</f>
        <v>5532000</v>
      </c>
      <c r="L445" s="475"/>
    </row>
    <row r="446" spans="1:12" x14ac:dyDescent="0.2">
      <c r="A446" s="305">
        <v>75</v>
      </c>
      <c r="B446" s="485" t="s">
        <v>838</v>
      </c>
      <c r="C446" s="476" t="s">
        <v>3899</v>
      </c>
      <c r="D446" s="464"/>
      <c r="E446" s="465" t="s">
        <v>2891</v>
      </c>
      <c r="F446" s="466" t="s">
        <v>2873</v>
      </c>
      <c r="G446" s="464"/>
      <c r="H446" s="477">
        <v>44991</v>
      </c>
      <c r="I446" s="488">
        <f t="shared" si="16"/>
        <v>560140.54054054047</v>
      </c>
      <c r="J446" s="488">
        <f t="shared" si="17"/>
        <v>61615.459459459453</v>
      </c>
      <c r="K446" s="474">
        <v>621756</v>
      </c>
      <c r="L446" s="475"/>
    </row>
    <row r="447" spans="1:12" x14ac:dyDescent="0.2">
      <c r="A447" s="305">
        <v>76</v>
      </c>
      <c r="B447" s="469" t="s">
        <v>839</v>
      </c>
      <c r="C447" s="476" t="s">
        <v>3900</v>
      </c>
      <c r="D447" s="464"/>
      <c r="E447" s="465" t="s">
        <v>3035</v>
      </c>
      <c r="F447" s="466" t="s">
        <v>2890</v>
      </c>
      <c r="G447" s="464"/>
      <c r="H447" s="477">
        <v>44995</v>
      </c>
      <c r="I447" s="473">
        <f t="shared" si="16"/>
        <v>62162.16216216216</v>
      </c>
      <c r="J447" s="473">
        <f t="shared" si="17"/>
        <v>6837.8378378378375</v>
      </c>
      <c r="K447" s="474">
        <v>69000</v>
      </c>
      <c r="L447" s="475"/>
    </row>
    <row r="448" spans="1:12" x14ac:dyDescent="0.2">
      <c r="A448" s="305">
        <v>77</v>
      </c>
      <c r="B448" s="485" t="s">
        <v>840</v>
      </c>
      <c r="C448" s="476" t="s">
        <v>3909</v>
      </c>
      <c r="D448" s="464"/>
      <c r="E448" s="465" t="s">
        <v>2934</v>
      </c>
      <c r="F448" s="466" t="s">
        <v>2935</v>
      </c>
      <c r="G448" s="464"/>
      <c r="H448" s="477">
        <v>44992</v>
      </c>
      <c r="I448" s="488">
        <f t="shared" si="16"/>
        <v>14480002.702702701</v>
      </c>
      <c r="J448" s="488">
        <f t="shared" si="17"/>
        <v>1592800.297297297</v>
      </c>
      <c r="K448" s="474">
        <f>7595991+4669326+3807486</f>
        <v>16072803</v>
      </c>
      <c r="L448" s="475"/>
    </row>
    <row r="449" spans="1:12" x14ac:dyDescent="0.2">
      <c r="A449" s="305">
        <v>78</v>
      </c>
      <c r="B449" s="469" t="s">
        <v>841</v>
      </c>
      <c r="C449" s="476" t="s">
        <v>3913</v>
      </c>
      <c r="D449" s="464"/>
      <c r="E449" s="465" t="s">
        <v>3046</v>
      </c>
      <c r="F449" s="466" t="s">
        <v>3047</v>
      </c>
      <c r="G449" s="464"/>
      <c r="H449" s="477">
        <v>44993</v>
      </c>
      <c r="I449" s="473">
        <f t="shared" si="16"/>
        <v>1972972.9729729728</v>
      </c>
      <c r="J449" s="473">
        <f t="shared" si="17"/>
        <v>217027.02702702701</v>
      </c>
      <c r="K449" s="474">
        <f>540000+1650000</f>
        <v>2190000</v>
      </c>
      <c r="L449" s="475"/>
    </row>
    <row r="450" spans="1:12" x14ac:dyDescent="0.2">
      <c r="A450" s="305">
        <v>79</v>
      </c>
      <c r="B450" s="485" t="s">
        <v>842</v>
      </c>
      <c r="C450" s="476" t="s">
        <v>3902</v>
      </c>
      <c r="D450" s="464"/>
      <c r="E450" s="465" t="s">
        <v>2984</v>
      </c>
      <c r="F450" s="466" t="s">
        <v>2873</v>
      </c>
      <c r="G450" s="464"/>
      <c r="H450" s="477">
        <v>44994</v>
      </c>
      <c r="I450" s="488">
        <f t="shared" si="16"/>
        <v>2270402.7027027025</v>
      </c>
      <c r="J450" s="488">
        <f t="shared" si="17"/>
        <v>249744.29729729728</v>
      </c>
      <c r="K450" s="474">
        <f>2184055+336092</f>
        <v>2520147</v>
      </c>
      <c r="L450" s="475"/>
    </row>
    <row r="451" spans="1:12" x14ac:dyDescent="0.2">
      <c r="A451" s="305">
        <v>80</v>
      </c>
      <c r="B451" s="469" t="s">
        <v>843</v>
      </c>
      <c r="C451" s="476" t="s">
        <v>3903</v>
      </c>
      <c r="D451" s="464"/>
      <c r="E451" s="465" t="s">
        <v>3904</v>
      </c>
      <c r="F451" s="466" t="s">
        <v>3061</v>
      </c>
      <c r="G451" s="464"/>
      <c r="H451" s="477">
        <v>44994</v>
      </c>
      <c r="I451" s="473">
        <f t="shared" si="16"/>
        <v>1351351.3513513512</v>
      </c>
      <c r="J451" s="473">
        <f t="shared" si="17"/>
        <v>148648.64864864864</v>
      </c>
      <c r="K451" s="474">
        <v>1500000</v>
      </c>
      <c r="L451" s="475"/>
    </row>
    <row r="452" spans="1:12" x14ac:dyDescent="0.2">
      <c r="A452" s="305">
        <v>81</v>
      </c>
      <c r="B452" s="485" t="s">
        <v>844</v>
      </c>
      <c r="C452" s="476" t="s">
        <v>3905</v>
      </c>
      <c r="D452" s="464"/>
      <c r="E452" s="465" t="s">
        <v>2916</v>
      </c>
      <c r="F452" s="466" t="s">
        <v>2873</v>
      </c>
      <c r="G452" s="464"/>
      <c r="H452" s="477">
        <v>44994</v>
      </c>
      <c r="I452" s="488">
        <f t="shared" si="16"/>
        <v>378378.37837837834</v>
      </c>
      <c r="J452" s="488">
        <f t="shared" si="17"/>
        <v>41621.62162162162</v>
      </c>
      <c r="K452" s="474">
        <v>420000</v>
      </c>
      <c r="L452" s="475"/>
    </row>
    <row r="453" spans="1:12" x14ac:dyDescent="0.2">
      <c r="A453" s="305">
        <v>82</v>
      </c>
      <c r="B453" s="469" t="s">
        <v>845</v>
      </c>
      <c r="C453" s="476" t="s">
        <v>3950</v>
      </c>
      <c r="D453" s="464"/>
      <c r="E453" s="465" t="s">
        <v>2904</v>
      </c>
      <c r="F453" s="466" t="s">
        <v>2905</v>
      </c>
      <c r="G453" s="464"/>
      <c r="H453" s="477">
        <v>44995</v>
      </c>
      <c r="I453" s="473">
        <f t="shared" si="16"/>
        <v>582882.88288288284</v>
      </c>
      <c r="J453" s="473">
        <f t="shared" si="17"/>
        <v>64117.117117117115</v>
      </c>
      <c r="K453" s="474">
        <f>215000+432000</f>
        <v>647000</v>
      </c>
      <c r="L453" s="475"/>
    </row>
    <row r="454" spans="1:12" x14ac:dyDescent="0.2">
      <c r="A454" s="305">
        <v>83</v>
      </c>
      <c r="B454" s="485" t="s">
        <v>846</v>
      </c>
      <c r="C454" s="476" t="s">
        <v>3906</v>
      </c>
      <c r="D454" s="464"/>
      <c r="E454" s="465" t="s">
        <v>3907</v>
      </c>
      <c r="F454" s="466" t="s">
        <v>2873</v>
      </c>
      <c r="G454" s="464"/>
      <c r="H454" s="477">
        <v>44995</v>
      </c>
      <c r="I454" s="488">
        <f t="shared" si="16"/>
        <v>643243.2432432432</v>
      </c>
      <c r="J454" s="488">
        <f t="shared" si="17"/>
        <v>70756.756756756746</v>
      </c>
      <c r="K454" s="474">
        <v>714000</v>
      </c>
      <c r="L454" s="475"/>
    </row>
    <row r="455" spans="1:12" x14ac:dyDescent="0.2">
      <c r="A455" s="305">
        <v>84</v>
      </c>
      <c r="B455" s="469" t="s">
        <v>847</v>
      </c>
      <c r="C455" s="476" t="s">
        <v>3967</v>
      </c>
      <c r="D455" s="464"/>
      <c r="E455" s="471" t="s">
        <v>2907</v>
      </c>
      <c r="F455" s="471" t="s">
        <v>2926</v>
      </c>
      <c r="G455" s="464"/>
      <c r="H455" s="472">
        <v>44998</v>
      </c>
      <c r="I455" s="473">
        <f t="shared" si="16"/>
        <v>11838486.486486485</v>
      </c>
      <c r="J455" s="473">
        <f t="shared" si="17"/>
        <v>1302233.5135135134</v>
      </c>
      <c r="K455" s="474">
        <f>3168000+3324240+6648480</f>
        <v>13140720</v>
      </c>
      <c r="L455" s="475"/>
    </row>
    <row r="456" spans="1:12" x14ac:dyDescent="0.2">
      <c r="A456" s="305">
        <v>85</v>
      </c>
      <c r="B456" s="485" t="s">
        <v>848</v>
      </c>
      <c r="C456" s="476" t="s">
        <v>3974</v>
      </c>
      <c r="D456" s="464"/>
      <c r="E456" s="471" t="s">
        <v>3596</v>
      </c>
      <c r="F456" s="471" t="s">
        <v>2912</v>
      </c>
      <c r="G456" s="464"/>
      <c r="H456" s="472">
        <v>45000</v>
      </c>
      <c r="I456" s="488">
        <f t="shared" si="16"/>
        <v>3904504.5045045041</v>
      </c>
      <c r="J456" s="488">
        <f t="shared" si="17"/>
        <v>429495.49549549544</v>
      </c>
      <c r="K456" s="474">
        <f>2750000+1584000</f>
        <v>4334000</v>
      </c>
      <c r="L456" s="475"/>
    </row>
    <row r="457" spans="1:12" x14ac:dyDescent="0.2">
      <c r="A457" s="305">
        <v>86</v>
      </c>
      <c r="B457" s="469" t="s">
        <v>849</v>
      </c>
      <c r="C457" s="476" t="s">
        <v>3973</v>
      </c>
      <c r="D457" s="464"/>
      <c r="E457" s="465" t="s">
        <v>3517</v>
      </c>
      <c r="F457" s="466" t="s">
        <v>2912</v>
      </c>
      <c r="G457" s="464"/>
      <c r="H457" s="477">
        <v>45001</v>
      </c>
      <c r="I457" s="473">
        <f t="shared" si="16"/>
        <v>1823423.4234234232</v>
      </c>
      <c r="J457" s="473">
        <f t="shared" si="17"/>
        <v>200576.57657657654</v>
      </c>
      <c r="K457" s="474">
        <f>440000+1584000</f>
        <v>2024000</v>
      </c>
      <c r="L457" s="475"/>
    </row>
    <row r="458" spans="1:12" x14ac:dyDescent="0.2">
      <c r="A458" s="305">
        <v>87</v>
      </c>
      <c r="B458" s="485" t="s">
        <v>850</v>
      </c>
      <c r="C458" s="476" t="s">
        <v>3908</v>
      </c>
      <c r="D458" s="464"/>
      <c r="E458" s="465" t="s">
        <v>2881</v>
      </c>
      <c r="F458" s="466" t="s">
        <v>2882</v>
      </c>
      <c r="G458" s="464"/>
      <c r="H458" s="477">
        <v>45001</v>
      </c>
      <c r="I458" s="488">
        <f t="shared" si="16"/>
        <v>855855.85585585574</v>
      </c>
      <c r="J458" s="488">
        <f t="shared" si="17"/>
        <v>94144.144144144127</v>
      </c>
      <c r="K458" s="474">
        <v>950000</v>
      </c>
      <c r="L458" s="475"/>
    </row>
    <row r="459" spans="1:12" x14ac:dyDescent="0.2">
      <c r="A459" s="305">
        <v>88</v>
      </c>
      <c r="B459" s="469" t="s">
        <v>851</v>
      </c>
      <c r="C459" s="476" t="s">
        <v>3981</v>
      </c>
      <c r="D459" s="464"/>
      <c r="E459" s="465" t="s">
        <v>2881</v>
      </c>
      <c r="F459" s="466" t="s">
        <v>2808</v>
      </c>
      <c r="G459" s="464"/>
      <c r="H459" s="477">
        <v>45002</v>
      </c>
      <c r="I459" s="473">
        <f t="shared" si="16"/>
        <v>16074924.324324323</v>
      </c>
      <c r="J459" s="473">
        <f t="shared" si="17"/>
        <v>1768241.6756756755</v>
      </c>
      <c r="K459" s="474">
        <f>8998020+1449738+7395408</f>
        <v>17843166</v>
      </c>
      <c r="L459" s="475"/>
    </row>
    <row r="460" spans="1:12" x14ac:dyDescent="0.2">
      <c r="A460" s="305">
        <v>89</v>
      </c>
      <c r="B460" s="485" t="s">
        <v>852</v>
      </c>
      <c r="C460" s="476" t="s">
        <v>3914</v>
      </c>
      <c r="D460" s="464"/>
      <c r="E460" s="465" t="s">
        <v>3915</v>
      </c>
      <c r="F460" s="466" t="s">
        <v>2912</v>
      </c>
      <c r="G460" s="464"/>
      <c r="H460" s="477">
        <v>44993</v>
      </c>
      <c r="I460" s="488">
        <f t="shared" si="16"/>
        <v>198198.19819819817</v>
      </c>
      <c r="J460" s="488">
        <f t="shared" si="17"/>
        <v>21801.801801801797</v>
      </c>
      <c r="K460" s="474">
        <v>220000</v>
      </c>
      <c r="L460" s="475"/>
    </row>
    <row r="461" spans="1:12" x14ac:dyDescent="0.2">
      <c r="A461" s="305">
        <v>90</v>
      </c>
      <c r="B461" s="469" t="s">
        <v>853</v>
      </c>
      <c r="C461" s="476" t="s">
        <v>3916</v>
      </c>
      <c r="D461" s="464"/>
      <c r="E461" s="465" t="s">
        <v>3917</v>
      </c>
      <c r="F461" s="466" t="s">
        <v>2873</v>
      </c>
      <c r="G461" s="464"/>
      <c r="H461" s="477">
        <v>44993</v>
      </c>
      <c r="I461" s="473">
        <f t="shared" si="16"/>
        <v>1051711.7117117117</v>
      </c>
      <c r="J461" s="473">
        <f t="shared" si="17"/>
        <v>115688.28828828828</v>
      </c>
      <c r="K461" s="474">
        <v>1167400</v>
      </c>
      <c r="L461" s="475"/>
    </row>
    <row r="462" spans="1:12" x14ac:dyDescent="0.2">
      <c r="A462" s="305">
        <v>91</v>
      </c>
      <c r="B462" s="485" t="s">
        <v>854</v>
      </c>
      <c r="C462" s="476" t="s">
        <v>3918</v>
      </c>
      <c r="D462" s="464"/>
      <c r="E462" s="465" t="s">
        <v>3919</v>
      </c>
      <c r="F462" s="466" t="s">
        <v>3061</v>
      </c>
      <c r="G462" s="464"/>
      <c r="H462" s="477">
        <v>44994</v>
      </c>
      <c r="I462" s="488">
        <f t="shared" si="16"/>
        <v>6236954.9549549548</v>
      </c>
      <c r="J462" s="488">
        <f t="shared" si="17"/>
        <v>686065.04504504509</v>
      </c>
      <c r="K462" s="474">
        <v>6923020</v>
      </c>
      <c r="L462" s="475"/>
    </row>
    <row r="463" spans="1:12" x14ac:dyDescent="0.2">
      <c r="A463" s="305">
        <v>92</v>
      </c>
      <c r="B463" s="469" t="s">
        <v>855</v>
      </c>
      <c r="C463" s="476" t="s">
        <v>3920</v>
      </c>
      <c r="D463" s="464"/>
      <c r="E463" s="465" t="s">
        <v>3921</v>
      </c>
      <c r="F463" s="466" t="s">
        <v>2873</v>
      </c>
      <c r="G463" s="464"/>
      <c r="H463" s="477">
        <v>44994</v>
      </c>
      <c r="I463" s="473">
        <f t="shared" si="16"/>
        <v>790297.29729729728</v>
      </c>
      <c r="J463" s="473">
        <f t="shared" si="17"/>
        <v>86932.702702702707</v>
      </c>
      <c r="K463" s="474">
        <v>877230</v>
      </c>
      <c r="L463" s="475"/>
    </row>
    <row r="464" spans="1:12" x14ac:dyDescent="0.2">
      <c r="A464" s="305">
        <v>93</v>
      </c>
      <c r="B464" s="485" t="s">
        <v>856</v>
      </c>
      <c r="C464" s="476" t="s">
        <v>3922</v>
      </c>
      <c r="D464" s="464"/>
      <c r="E464" s="465" t="s">
        <v>3923</v>
      </c>
      <c r="F464" s="466" t="s">
        <v>3924</v>
      </c>
      <c r="G464" s="464"/>
      <c r="H464" s="477">
        <v>44994</v>
      </c>
      <c r="I464" s="488">
        <f t="shared" si="16"/>
        <v>7528621.6216216208</v>
      </c>
      <c r="J464" s="488">
        <f t="shared" si="17"/>
        <v>828148.37837837834</v>
      </c>
      <c r="K464" s="474">
        <v>8356770</v>
      </c>
      <c r="L464" s="475"/>
    </row>
    <row r="465" spans="1:12" x14ac:dyDescent="0.2">
      <c r="A465" s="305">
        <v>94</v>
      </c>
      <c r="B465" s="469" t="s">
        <v>857</v>
      </c>
      <c r="C465" s="476" t="s">
        <v>3940</v>
      </c>
      <c r="D465" s="464"/>
      <c r="E465" s="465" t="s">
        <v>2883</v>
      </c>
      <c r="F465" s="466" t="s">
        <v>2884</v>
      </c>
      <c r="G465" s="464"/>
      <c r="H465" s="477">
        <v>44994</v>
      </c>
      <c r="I465" s="473">
        <f t="shared" si="16"/>
        <v>9017708.108108107</v>
      </c>
      <c r="J465" s="473">
        <f t="shared" si="17"/>
        <v>991947.89189189172</v>
      </c>
      <c r="K465" s="474">
        <f>6685416+3324240</f>
        <v>10009656</v>
      </c>
      <c r="L465" s="475"/>
    </row>
    <row r="466" spans="1:12" x14ac:dyDescent="0.2">
      <c r="A466" s="305">
        <v>95</v>
      </c>
      <c r="B466" s="485" t="s">
        <v>858</v>
      </c>
      <c r="C466" s="476" t="s">
        <v>3980</v>
      </c>
      <c r="D466" s="464"/>
      <c r="E466" s="465" t="s">
        <v>2948</v>
      </c>
      <c r="F466" s="466" t="s">
        <v>2892</v>
      </c>
      <c r="G466" s="464"/>
      <c r="H466" s="477">
        <v>44998</v>
      </c>
      <c r="I466" s="488">
        <f t="shared" si="16"/>
        <v>17573562.162162162</v>
      </c>
      <c r="J466" s="488">
        <f t="shared" si="17"/>
        <v>1933091.8378378379</v>
      </c>
      <c r="K466" s="474">
        <f>1752750+12878352+4875552</f>
        <v>19506654</v>
      </c>
      <c r="L466" s="475"/>
    </row>
    <row r="467" spans="1:12" x14ac:dyDescent="0.2">
      <c r="A467" s="305">
        <v>96</v>
      </c>
      <c r="B467" s="469" t="s">
        <v>859</v>
      </c>
      <c r="C467" s="480" t="s">
        <v>3944</v>
      </c>
      <c r="D467" s="481"/>
      <c r="E467" s="482" t="s">
        <v>2934</v>
      </c>
      <c r="F467" s="483" t="s">
        <v>2935</v>
      </c>
      <c r="G467" s="513"/>
      <c r="H467" s="484">
        <v>44995</v>
      </c>
      <c r="I467" s="473">
        <f t="shared" si="16"/>
        <v>12497018.918918917</v>
      </c>
      <c r="J467" s="473">
        <f t="shared" si="17"/>
        <v>1374672.0810810809</v>
      </c>
      <c r="K467" s="474">
        <f>3244212+4245759+6381720</f>
        <v>13871691</v>
      </c>
      <c r="L467" s="475"/>
    </row>
    <row r="468" spans="1:12" x14ac:dyDescent="0.2">
      <c r="A468" s="305">
        <v>97</v>
      </c>
      <c r="B468" s="485" t="s">
        <v>860</v>
      </c>
      <c r="C468" s="476" t="s">
        <v>3994</v>
      </c>
      <c r="D468" s="464"/>
      <c r="E468" s="471" t="s">
        <v>2936</v>
      </c>
      <c r="F468" s="471" t="s">
        <v>2922</v>
      </c>
      <c r="G468" s="464"/>
      <c r="H468" s="477">
        <v>44995</v>
      </c>
      <c r="I468" s="488">
        <f t="shared" si="16"/>
        <v>4531962.1621621614</v>
      </c>
      <c r="J468" s="488">
        <f t="shared" si="17"/>
        <v>498515.83783783775</v>
      </c>
      <c r="K468" s="474">
        <f>1116288+3488400+425790</f>
        <v>5030478</v>
      </c>
      <c r="L468" s="475"/>
    </row>
    <row r="469" spans="1:12" x14ac:dyDescent="0.2">
      <c r="A469" s="305">
        <v>98</v>
      </c>
      <c r="B469" s="469" t="s">
        <v>861</v>
      </c>
      <c r="C469" s="476" t="s">
        <v>3939</v>
      </c>
      <c r="D469" s="464"/>
      <c r="E469" s="465" t="s">
        <v>3156</v>
      </c>
      <c r="F469" s="466" t="s">
        <v>2912</v>
      </c>
      <c r="G469" s="464"/>
      <c r="H469" s="477">
        <v>44995</v>
      </c>
      <c r="I469" s="473">
        <f t="shared" si="16"/>
        <v>597463.96396396391</v>
      </c>
      <c r="J469" s="473">
        <f t="shared" si="17"/>
        <v>65721.036036036036</v>
      </c>
      <c r="K469" s="474">
        <v>663185</v>
      </c>
      <c r="L469" s="475"/>
    </row>
    <row r="470" spans="1:12" x14ac:dyDescent="0.2">
      <c r="A470" s="305">
        <v>99</v>
      </c>
      <c r="B470" s="485" t="s">
        <v>862</v>
      </c>
      <c r="C470" s="476" t="s">
        <v>4016</v>
      </c>
      <c r="D470" s="464"/>
      <c r="E470" s="465" t="s">
        <v>3082</v>
      </c>
      <c r="F470" s="466" t="s">
        <v>3061</v>
      </c>
      <c r="G470" s="464"/>
      <c r="H470" s="477">
        <v>44996</v>
      </c>
      <c r="I470" s="488">
        <f t="shared" si="16"/>
        <v>4561261.2612612611</v>
      </c>
      <c r="J470" s="488">
        <f t="shared" si="17"/>
        <v>501738.7387387387</v>
      </c>
      <c r="K470" s="474">
        <f>275000+3168000+1620000</f>
        <v>5063000</v>
      </c>
      <c r="L470" s="475"/>
    </row>
    <row r="471" spans="1:12" x14ac:dyDescent="0.2">
      <c r="A471" s="305">
        <v>100</v>
      </c>
      <c r="B471" s="469" t="s">
        <v>863</v>
      </c>
      <c r="C471" s="476" t="s">
        <v>4047</v>
      </c>
      <c r="D471" s="464"/>
      <c r="E471" s="465" t="s">
        <v>3129</v>
      </c>
      <c r="F471" s="466" t="s">
        <v>3108</v>
      </c>
      <c r="G471" s="464"/>
      <c r="H471" s="477">
        <v>44998</v>
      </c>
      <c r="I471" s="473">
        <f t="shared" si="16"/>
        <v>10138162.162162161</v>
      </c>
      <c r="J471" s="473">
        <f t="shared" si="17"/>
        <v>1115197.8378378376</v>
      </c>
      <c r="K471" s="474">
        <f>1650000+9603360</f>
        <v>11253360</v>
      </c>
      <c r="L471" s="475"/>
    </row>
    <row r="472" spans="1:12" x14ac:dyDescent="0.2">
      <c r="A472" s="305">
        <v>101</v>
      </c>
      <c r="B472" s="485" t="s">
        <v>864</v>
      </c>
      <c r="C472" s="476" t="s">
        <v>4053</v>
      </c>
      <c r="D472" s="464"/>
      <c r="E472" s="465" t="s">
        <v>3122</v>
      </c>
      <c r="F472" s="466" t="s">
        <v>2946</v>
      </c>
      <c r="G472" s="464"/>
      <c r="H472" s="477">
        <v>44998</v>
      </c>
      <c r="I472" s="488">
        <f t="shared" si="16"/>
        <v>2102889.1891891891</v>
      </c>
      <c r="J472" s="488">
        <f t="shared" si="17"/>
        <v>231317.8108108108</v>
      </c>
      <c r="K472" s="474">
        <f>1190160+666577+477470</f>
        <v>2334207</v>
      </c>
      <c r="L472" s="475"/>
    </row>
    <row r="473" spans="1:12" x14ac:dyDescent="0.2">
      <c r="A473" s="305">
        <v>102</v>
      </c>
      <c r="B473" s="469" t="s">
        <v>865</v>
      </c>
      <c r="C473" s="476" t="s">
        <v>3969</v>
      </c>
      <c r="D473" s="464"/>
      <c r="E473" s="465" t="s">
        <v>2993</v>
      </c>
      <c r="F473" s="466" t="s">
        <v>2994</v>
      </c>
      <c r="G473" s="464"/>
      <c r="H473" s="477">
        <v>44998</v>
      </c>
      <c r="I473" s="473">
        <f t="shared" si="16"/>
        <v>2541891.8918918916</v>
      </c>
      <c r="J473" s="473">
        <f t="shared" si="17"/>
        <v>279608.10810810811</v>
      </c>
      <c r="K473" s="474">
        <f>1282500+1539000</f>
        <v>2821500</v>
      </c>
      <c r="L473" s="475"/>
    </row>
    <row r="474" spans="1:12" x14ac:dyDescent="0.2">
      <c r="A474" s="305">
        <v>103</v>
      </c>
      <c r="B474" s="485" t="s">
        <v>866</v>
      </c>
      <c r="C474" s="476" t="s">
        <v>3963</v>
      </c>
      <c r="D474" s="464"/>
      <c r="E474" s="465" t="s">
        <v>2894</v>
      </c>
      <c r="F474" s="466" t="s">
        <v>3061</v>
      </c>
      <c r="G474" s="464"/>
      <c r="H474" s="477">
        <v>44998</v>
      </c>
      <c r="I474" s="488">
        <f t="shared" si="16"/>
        <v>2018018.0180180178</v>
      </c>
      <c r="J474" s="488">
        <f t="shared" si="17"/>
        <v>221981.98198198195</v>
      </c>
      <c r="K474" s="474">
        <f>1120000+1120000</f>
        <v>2240000</v>
      </c>
      <c r="L474" s="475"/>
    </row>
    <row r="475" spans="1:12" x14ac:dyDescent="0.2">
      <c r="A475" s="305">
        <v>104</v>
      </c>
      <c r="B475" s="469" t="s">
        <v>867</v>
      </c>
      <c r="C475" s="476" t="s">
        <v>3942</v>
      </c>
      <c r="D475" s="464"/>
      <c r="E475" s="465" t="s">
        <v>3533</v>
      </c>
      <c r="F475" s="466" t="s">
        <v>2922</v>
      </c>
      <c r="G475" s="464"/>
      <c r="H475" s="477">
        <v>44998</v>
      </c>
      <c r="I475" s="473">
        <f t="shared" si="16"/>
        <v>206586.48648648648</v>
      </c>
      <c r="J475" s="473">
        <f t="shared" si="17"/>
        <v>22724.513513513513</v>
      </c>
      <c r="K475" s="474">
        <v>229311</v>
      </c>
      <c r="L475" s="475"/>
    </row>
    <row r="476" spans="1:12" x14ac:dyDescent="0.2">
      <c r="A476" s="305">
        <v>105</v>
      </c>
      <c r="B476" s="485" t="s">
        <v>868</v>
      </c>
      <c r="C476" s="476" t="s">
        <v>3943</v>
      </c>
      <c r="D476" s="464"/>
      <c r="E476" s="465" t="s">
        <v>3130</v>
      </c>
      <c r="F476" s="466" t="s">
        <v>2873</v>
      </c>
      <c r="G476" s="464"/>
      <c r="H476" s="477">
        <v>44998</v>
      </c>
      <c r="I476" s="488">
        <f t="shared" si="16"/>
        <v>3201859.4594594594</v>
      </c>
      <c r="J476" s="488">
        <f t="shared" si="17"/>
        <v>352204.54054054053</v>
      </c>
      <c r="K476" s="474">
        <v>3554064</v>
      </c>
      <c r="L476" s="475"/>
    </row>
    <row r="477" spans="1:12" x14ac:dyDescent="0.2">
      <c r="A477" s="305">
        <v>106</v>
      </c>
      <c r="B477" s="469" t="s">
        <v>869</v>
      </c>
      <c r="C477" s="476" t="s">
        <v>3968</v>
      </c>
      <c r="D477" s="464"/>
      <c r="E477" s="465" t="s">
        <v>2885</v>
      </c>
      <c r="F477" s="466" t="s">
        <v>2886</v>
      </c>
      <c r="G477" s="464"/>
      <c r="H477" s="477">
        <v>45000</v>
      </c>
      <c r="I477" s="473">
        <f t="shared" si="16"/>
        <v>3547984.6846846845</v>
      </c>
      <c r="J477" s="473">
        <f t="shared" si="17"/>
        <v>390278.31531531533</v>
      </c>
      <c r="K477" s="474">
        <f>696103+1980180+1261980</f>
        <v>3938263</v>
      </c>
      <c r="L477" s="475"/>
    </row>
    <row r="478" spans="1:12" x14ac:dyDescent="0.2">
      <c r="A478" s="305">
        <v>107</v>
      </c>
      <c r="B478" s="485" t="s">
        <v>870</v>
      </c>
      <c r="C478" s="480" t="s">
        <v>3987</v>
      </c>
      <c r="D478" s="481"/>
      <c r="E478" s="482" t="s">
        <v>2962</v>
      </c>
      <c r="F478" s="483" t="s">
        <v>2908</v>
      </c>
      <c r="G478" s="513"/>
      <c r="H478" s="484">
        <v>44999</v>
      </c>
      <c r="I478" s="488">
        <f t="shared" si="16"/>
        <v>3959805.405405405</v>
      </c>
      <c r="J478" s="488">
        <f t="shared" si="17"/>
        <v>435578.59459459456</v>
      </c>
      <c r="K478" s="474">
        <f>3213432+1181952</f>
        <v>4395384</v>
      </c>
      <c r="L478" s="475"/>
    </row>
    <row r="479" spans="1:12" x14ac:dyDescent="0.2">
      <c r="A479" s="305">
        <v>108</v>
      </c>
      <c r="B479" s="469" t="s">
        <v>871</v>
      </c>
      <c r="C479" s="476" t="s">
        <v>3975</v>
      </c>
      <c r="D479" s="464"/>
      <c r="E479" s="471" t="s">
        <v>2911</v>
      </c>
      <c r="F479" s="471" t="s">
        <v>2912</v>
      </c>
      <c r="G479" s="464"/>
      <c r="H479" s="477">
        <v>45000</v>
      </c>
      <c r="I479" s="473">
        <f t="shared" si="16"/>
        <v>14511891.891891891</v>
      </c>
      <c r="J479" s="473">
        <f t="shared" si="17"/>
        <v>1596308.1081081079</v>
      </c>
      <c r="K479" s="474">
        <f>12783960+3324240</f>
        <v>16108200</v>
      </c>
      <c r="L479" s="475"/>
    </row>
    <row r="480" spans="1:12" x14ac:dyDescent="0.2">
      <c r="A480" s="305">
        <v>109</v>
      </c>
      <c r="B480" s="485" t="s">
        <v>872</v>
      </c>
      <c r="C480" s="476" t="s">
        <v>3945</v>
      </c>
      <c r="D480" s="464"/>
      <c r="E480" s="465" t="s">
        <v>2981</v>
      </c>
      <c r="F480" s="466" t="s">
        <v>2982</v>
      </c>
      <c r="G480" s="464"/>
      <c r="H480" s="477">
        <v>45000</v>
      </c>
      <c r="I480" s="488">
        <f t="shared" si="16"/>
        <v>4473729.7297297297</v>
      </c>
      <c r="J480" s="488">
        <f t="shared" si="17"/>
        <v>492110.2702702703</v>
      </c>
      <c r="K480" s="474">
        <v>4965840</v>
      </c>
      <c r="L480" s="475"/>
    </row>
    <row r="481" spans="1:12" x14ac:dyDescent="0.2">
      <c r="A481" s="305">
        <v>110</v>
      </c>
      <c r="B481" s="469" t="s">
        <v>873</v>
      </c>
      <c r="C481" s="476" t="s">
        <v>3946</v>
      </c>
      <c r="D481" s="464"/>
      <c r="E481" s="465" t="s">
        <v>5187</v>
      </c>
      <c r="F481" s="466" t="s">
        <v>2828</v>
      </c>
      <c r="G481" s="464"/>
      <c r="H481" s="477">
        <v>45000</v>
      </c>
      <c r="I481" s="473">
        <f t="shared" si="16"/>
        <v>476351.3513513513</v>
      </c>
      <c r="J481" s="473">
        <f t="shared" si="17"/>
        <v>52398.648648648646</v>
      </c>
      <c r="K481" s="474">
        <v>528750</v>
      </c>
      <c r="L481" s="475"/>
    </row>
    <row r="482" spans="1:12" x14ac:dyDescent="0.2">
      <c r="A482" s="305">
        <v>111</v>
      </c>
      <c r="B482" s="485" t="s">
        <v>874</v>
      </c>
      <c r="C482" s="476" t="s">
        <v>3947</v>
      </c>
      <c r="D482" s="464"/>
      <c r="E482" s="465" t="s">
        <v>3538</v>
      </c>
      <c r="F482" s="466" t="s">
        <v>2890</v>
      </c>
      <c r="G482" s="464"/>
      <c r="H482" s="477">
        <v>45001</v>
      </c>
      <c r="I482" s="488">
        <f t="shared" si="16"/>
        <v>1580594.5945945946</v>
      </c>
      <c r="J482" s="488">
        <f t="shared" si="17"/>
        <v>173865.40540540541</v>
      </c>
      <c r="K482" s="474">
        <v>1754460</v>
      </c>
      <c r="L482" s="475"/>
    </row>
    <row r="483" spans="1:12" x14ac:dyDescent="0.2">
      <c r="A483" s="305">
        <v>112</v>
      </c>
      <c r="B483" s="469" t="s">
        <v>875</v>
      </c>
      <c r="C483" s="476" t="s">
        <v>3972</v>
      </c>
      <c r="D483" s="464"/>
      <c r="E483" s="465" t="s">
        <v>2907</v>
      </c>
      <c r="F483" s="466" t="s">
        <v>2908</v>
      </c>
      <c r="G483" s="464"/>
      <c r="H483" s="477">
        <v>45001</v>
      </c>
      <c r="I483" s="473">
        <f t="shared" si="16"/>
        <v>6269639.6396396393</v>
      </c>
      <c r="J483" s="473">
        <f t="shared" si="17"/>
        <v>689660.36036036036</v>
      </c>
      <c r="K483" s="474">
        <f>3400956+594230+2964114</f>
        <v>6959300</v>
      </c>
      <c r="L483" s="475"/>
    </row>
    <row r="484" spans="1:12" x14ac:dyDescent="0.2">
      <c r="A484" s="305">
        <v>113</v>
      </c>
      <c r="B484" s="485" t="s">
        <v>876</v>
      </c>
      <c r="C484" s="476" t="s">
        <v>4031</v>
      </c>
      <c r="D484" s="464"/>
      <c r="E484" s="465" t="s">
        <v>2958</v>
      </c>
      <c r="F484" s="466" t="s">
        <v>2823</v>
      </c>
      <c r="G484" s="464"/>
      <c r="H484" s="477">
        <v>45016</v>
      </c>
      <c r="I484" s="488">
        <f t="shared" si="16"/>
        <v>17582651.351351351</v>
      </c>
      <c r="J484" s="488">
        <f t="shared" si="17"/>
        <v>1934091.6486486485</v>
      </c>
      <c r="K484" s="474">
        <f>3382722+16134021</f>
        <v>19516743</v>
      </c>
      <c r="L484" s="475"/>
    </row>
    <row r="485" spans="1:12" x14ac:dyDescent="0.2">
      <c r="A485" s="305">
        <v>114</v>
      </c>
      <c r="B485" s="469" t="s">
        <v>877</v>
      </c>
      <c r="C485" s="476" t="s">
        <v>3951</v>
      </c>
      <c r="D485" s="464"/>
      <c r="E485" s="465" t="s">
        <v>2947</v>
      </c>
      <c r="F485" s="466" t="s">
        <v>2823</v>
      </c>
      <c r="G485" s="464"/>
      <c r="H485" s="477">
        <v>44993</v>
      </c>
      <c r="I485" s="473">
        <f t="shared" si="16"/>
        <v>8842702.7027027011</v>
      </c>
      <c r="J485" s="473">
        <f t="shared" si="17"/>
        <v>972697.29729729716</v>
      </c>
      <c r="K485" s="474">
        <f>1457775+2935215+5422410</f>
        <v>9815400</v>
      </c>
      <c r="L485" s="475"/>
    </row>
    <row r="486" spans="1:12" x14ac:dyDescent="0.2">
      <c r="A486" s="305">
        <v>115</v>
      </c>
      <c r="B486" s="485" t="s">
        <v>878</v>
      </c>
      <c r="C486" s="476" t="s">
        <v>4027</v>
      </c>
      <c r="D486" s="464"/>
      <c r="E486" s="465" t="s">
        <v>2898</v>
      </c>
      <c r="F486" s="466" t="s">
        <v>2823</v>
      </c>
      <c r="G486" s="464"/>
      <c r="H486" s="477">
        <v>44994</v>
      </c>
      <c r="I486" s="488">
        <f t="shared" si="16"/>
        <v>16441881.081081079</v>
      </c>
      <c r="J486" s="488">
        <f t="shared" si="17"/>
        <v>1808606.9189189188</v>
      </c>
      <c r="K486" s="474">
        <f>4801680+6919344+6529464</f>
        <v>18250488</v>
      </c>
      <c r="L486" s="475"/>
    </row>
    <row r="487" spans="1:12" x14ac:dyDescent="0.2">
      <c r="A487" s="305">
        <v>116</v>
      </c>
      <c r="B487" s="469" t="s">
        <v>879</v>
      </c>
      <c r="C487" s="476" t="s">
        <v>4032</v>
      </c>
      <c r="D487" s="464"/>
      <c r="E487" s="465" t="s">
        <v>2900</v>
      </c>
      <c r="F487" s="466" t="s">
        <v>2823</v>
      </c>
      <c r="G487" s="464"/>
      <c r="H487" s="477">
        <v>44995</v>
      </c>
      <c r="I487" s="473">
        <f t="shared" si="16"/>
        <v>58159718.918918915</v>
      </c>
      <c r="J487" s="473">
        <f t="shared" si="17"/>
        <v>6397569.0810810803</v>
      </c>
      <c r="K487" s="474">
        <f>2314656+5472000+56770632</f>
        <v>64557288</v>
      </c>
      <c r="L487" s="475"/>
    </row>
    <row r="488" spans="1:12" x14ac:dyDescent="0.2">
      <c r="A488" s="305">
        <v>117</v>
      </c>
      <c r="B488" s="485" t="s">
        <v>880</v>
      </c>
      <c r="C488" s="476" t="s">
        <v>4030</v>
      </c>
      <c r="D488" s="464"/>
      <c r="E488" s="465" t="s">
        <v>3011</v>
      </c>
      <c r="F488" s="466" t="s">
        <v>2823</v>
      </c>
      <c r="G488" s="464"/>
      <c r="H488" s="477">
        <v>44995</v>
      </c>
      <c r="I488" s="488">
        <f t="shared" si="16"/>
        <v>43554239.639639638</v>
      </c>
      <c r="J488" s="488">
        <f t="shared" si="17"/>
        <v>4790966.3603603607</v>
      </c>
      <c r="K488" s="474">
        <f>2942568+21978630+23424008</f>
        <v>48345206</v>
      </c>
      <c r="L488" s="475"/>
    </row>
    <row r="489" spans="1:12" x14ac:dyDescent="0.2">
      <c r="A489" s="305">
        <v>118</v>
      </c>
      <c r="B489" s="469" t="s">
        <v>881</v>
      </c>
      <c r="C489" s="480" t="s">
        <v>4034</v>
      </c>
      <c r="D489" s="481"/>
      <c r="E489" s="482" t="s">
        <v>2933</v>
      </c>
      <c r="F489" s="483" t="s">
        <v>2823</v>
      </c>
      <c r="G489" s="513"/>
      <c r="H489" s="484">
        <v>44988</v>
      </c>
      <c r="I489" s="473">
        <f t="shared" si="16"/>
        <v>38256722.522522517</v>
      </c>
      <c r="J489" s="473">
        <f t="shared" si="17"/>
        <v>4208239.4774774769</v>
      </c>
      <c r="K489" s="474">
        <f>22121586+13567824+6775552</f>
        <v>42464962</v>
      </c>
      <c r="L489" s="475"/>
    </row>
    <row r="490" spans="1:12" x14ac:dyDescent="0.2">
      <c r="A490" s="305">
        <v>119</v>
      </c>
      <c r="B490" s="485" t="s">
        <v>882</v>
      </c>
      <c r="C490" s="476" t="s">
        <v>4028</v>
      </c>
      <c r="D490" s="464"/>
      <c r="E490" s="471" t="s">
        <v>2937</v>
      </c>
      <c r="F490" s="471" t="s">
        <v>2823</v>
      </c>
      <c r="G490" s="464"/>
      <c r="H490" s="477">
        <v>44999</v>
      </c>
      <c r="I490" s="488">
        <f t="shared" si="16"/>
        <v>23236895.495495494</v>
      </c>
      <c r="J490" s="488">
        <f t="shared" si="17"/>
        <v>2556058.5045045046</v>
      </c>
      <c r="K490" s="474">
        <f>2008908+19133190+4650856</f>
        <v>25792954</v>
      </c>
      <c r="L490" s="475"/>
    </row>
    <row r="491" spans="1:12" x14ac:dyDescent="0.2">
      <c r="A491" s="305">
        <v>120</v>
      </c>
      <c r="B491" s="469" t="s">
        <v>883</v>
      </c>
      <c r="C491" s="476" t="s">
        <v>3952</v>
      </c>
      <c r="D491" s="464"/>
      <c r="E491" s="465" t="s">
        <v>3043</v>
      </c>
      <c r="F491" s="466" t="s">
        <v>3044</v>
      </c>
      <c r="G491" s="464"/>
      <c r="H491" s="477">
        <v>45000</v>
      </c>
      <c r="I491" s="473">
        <f t="shared" si="16"/>
        <v>1441945.9459459458</v>
      </c>
      <c r="J491" s="473">
        <f t="shared" si="17"/>
        <v>158614.05405405405</v>
      </c>
      <c r="K491" s="474">
        <v>1600560</v>
      </c>
      <c r="L491" s="475"/>
    </row>
    <row r="492" spans="1:12" x14ac:dyDescent="0.2">
      <c r="A492" s="305">
        <v>121</v>
      </c>
      <c r="B492" s="485" t="s">
        <v>884</v>
      </c>
      <c r="C492" s="476" t="s">
        <v>3984</v>
      </c>
      <c r="D492" s="464"/>
      <c r="E492" s="465" t="s">
        <v>2945</v>
      </c>
      <c r="F492" s="466" t="s">
        <v>2946</v>
      </c>
      <c r="G492" s="464"/>
      <c r="H492" s="477">
        <v>45003</v>
      </c>
      <c r="I492" s="488">
        <f t="shared" si="16"/>
        <v>3421045.9459459456</v>
      </c>
      <c r="J492" s="488">
        <f t="shared" si="17"/>
        <v>376315.05405405402</v>
      </c>
      <c r="K492" s="474">
        <f>1539036+2258325</f>
        <v>3797361</v>
      </c>
      <c r="L492" s="475"/>
    </row>
    <row r="493" spans="1:12" x14ac:dyDescent="0.2">
      <c r="A493" s="305">
        <v>122</v>
      </c>
      <c r="B493" s="469" t="s">
        <v>885</v>
      </c>
      <c r="C493" s="476" t="s">
        <v>4046</v>
      </c>
      <c r="D493" s="464"/>
      <c r="E493" s="465" t="s">
        <v>2907</v>
      </c>
      <c r="F493" s="466" t="s">
        <v>2792</v>
      </c>
      <c r="G493" s="464"/>
      <c r="H493" s="477">
        <v>45003</v>
      </c>
      <c r="I493" s="473">
        <f t="shared" si="16"/>
        <v>1670972.9729729728</v>
      </c>
      <c r="J493" s="473">
        <f t="shared" si="17"/>
        <v>183807.02702702701</v>
      </c>
      <c r="K493" s="474">
        <f>307800+1546980</f>
        <v>1854780</v>
      </c>
      <c r="L493" s="475"/>
    </row>
    <row r="494" spans="1:12" x14ac:dyDescent="0.2">
      <c r="A494" s="305">
        <v>123</v>
      </c>
      <c r="B494" s="485" t="s">
        <v>886</v>
      </c>
      <c r="C494" s="476" t="s">
        <v>3953</v>
      </c>
      <c r="D494" s="464"/>
      <c r="E494" s="465" t="s">
        <v>3954</v>
      </c>
      <c r="F494" s="466" t="s">
        <v>3568</v>
      </c>
      <c r="G494" s="464"/>
      <c r="H494" s="477">
        <v>45005</v>
      </c>
      <c r="I494" s="488">
        <f t="shared" si="16"/>
        <v>472972.97297297296</v>
      </c>
      <c r="J494" s="488">
        <f t="shared" si="17"/>
        <v>52027.027027027027</v>
      </c>
      <c r="K494" s="474">
        <v>525000</v>
      </c>
      <c r="L494" s="475"/>
    </row>
    <row r="495" spans="1:12" x14ac:dyDescent="0.2">
      <c r="A495" s="305">
        <v>124</v>
      </c>
      <c r="B495" s="469" t="s">
        <v>887</v>
      </c>
      <c r="C495" s="476" t="s">
        <v>3955</v>
      </c>
      <c r="D495" s="464"/>
      <c r="E495" s="465" t="s">
        <v>2986</v>
      </c>
      <c r="F495" s="466" t="s">
        <v>2987</v>
      </c>
      <c r="G495" s="464"/>
      <c r="H495" s="477">
        <v>45006</v>
      </c>
      <c r="I495" s="473">
        <f t="shared" si="16"/>
        <v>698789.18918918911</v>
      </c>
      <c r="J495" s="473">
        <f t="shared" si="17"/>
        <v>76866.810810810799</v>
      </c>
      <c r="K495" s="474">
        <v>775656</v>
      </c>
      <c r="L495" s="475"/>
    </row>
    <row r="496" spans="1:12" x14ac:dyDescent="0.2">
      <c r="A496" s="305">
        <v>125</v>
      </c>
      <c r="B496" s="485" t="s">
        <v>888</v>
      </c>
      <c r="C496" s="476" t="s">
        <v>3956</v>
      </c>
      <c r="D496" s="464"/>
      <c r="E496" s="465" t="s">
        <v>2990</v>
      </c>
      <c r="F496" s="466" t="s">
        <v>2987</v>
      </c>
      <c r="G496" s="464"/>
      <c r="H496" s="477">
        <v>45006</v>
      </c>
      <c r="I496" s="488">
        <f t="shared" si="16"/>
        <v>698789.18918918911</v>
      </c>
      <c r="J496" s="488">
        <f t="shared" si="17"/>
        <v>76866.810810810799</v>
      </c>
      <c r="K496" s="474">
        <v>775656</v>
      </c>
      <c r="L496" s="475"/>
    </row>
    <row r="497" spans="1:12" x14ac:dyDescent="0.2">
      <c r="A497" s="305">
        <v>126</v>
      </c>
      <c r="B497" s="469" t="s">
        <v>889</v>
      </c>
      <c r="C497" s="476" t="s">
        <v>3957</v>
      </c>
      <c r="D497" s="464"/>
      <c r="E497" s="465" t="s">
        <v>3958</v>
      </c>
      <c r="F497" s="466" t="s">
        <v>3959</v>
      </c>
      <c r="G497" s="464"/>
      <c r="H497" s="477">
        <v>45008</v>
      </c>
      <c r="I497" s="473">
        <f t="shared" si="16"/>
        <v>7914107.2072072066</v>
      </c>
      <c r="J497" s="473">
        <f t="shared" si="17"/>
        <v>870551.79279279278</v>
      </c>
      <c r="K497" s="474">
        <f>5224354+1772415+1787890</f>
        <v>8784659</v>
      </c>
      <c r="L497" s="475"/>
    </row>
    <row r="498" spans="1:12" x14ac:dyDescent="0.2">
      <c r="A498" s="305">
        <v>127</v>
      </c>
      <c r="B498" s="485" t="s">
        <v>890</v>
      </c>
      <c r="C498" s="476" t="s">
        <v>3960</v>
      </c>
      <c r="D498" s="464"/>
      <c r="E498" s="465" t="s">
        <v>2907</v>
      </c>
      <c r="F498" s="466" t="s">
        <v>3047</v>
      </c>
      <c r="G498" s="464"/>
      <c r="H498" s="477">
        <v>45013</v>
      </c>
      <c r="I498" s="488">
        <f t="shared" si="16"/>
        <v>2439291.8918918916</v>
      </c>
      <c r="J498" s="488">
        <f t="shared" si="17"/>
        <v>268322.10810810811</v>
      </c>
      <c r="K498" s="474">
        <v>2707614</v>
      </c>
      <c r="L498" s="475"/>
    </row>
    <row r="499" spans="1:12" x14ac:dyDescent="0.2">
      <c r="A499" s="305">
        <v>128</v>
      </c>
      <c r="B499" s="469" t="s">
        <v>891</v>
      </c>
      <c r="C499" s="476" t="s">
        <v>4007</v>
      </c>
      <c r="D499" s="464"/>
      <c r="E499" s="465" t="s">
        <v>2907</v>
      </c>
      <c r="F499" s="466" t="s">
        <v>2858</v>
      </c>
      <c r="G499" s="464"/>
      <c r="H499" s="477">
        <v>45013</v>
      </c>
      <c r="I499" s="473">
        <f t="shared" si="16"/>
        <v>6247970.2702702694</v>
      </c>
      <c r="J499" s="473">
        <f t="shared" si="17"/>
        <v>687276.72972972959</v>
      </c>
      <c r="K499" s="474">
        <f>756675+3519180+2659392</f>
        <v>6935247</v>
      </c>
      <c r="L499" s="475"/>
    </row>
    <row r="500" spans="1:12" x14ac:dyDescent="0.2">
      <c r="A500" s="305">
        <v>129</v>
      </c>
      <c r="B500" s="485" t="s">
        <v>892</v>
      </c>
      <c r="C500" s="480" t="s">
        <v>3961</v>
      </c>
      <c r="D500" s="481"/>
      <c r="E500" s="482" t="s">
        <v>2921</v>
      </c>
      <c r="F500" s="483" t="s">
        <v>2922</v>
      </c>
      <c r="G500" s="513"/>
      <c r="H500" s="484">
        <v>45012</v>
      </c>
      <c r="I500" s="488">
        <f t="shared" si="16"/>
        <v>413789.18918918917</v>
      </c>
      <c r="J500" s="488">
        <f t="shared" si="17"/>
        <v>45516.810810810806</v>
      </c>
      <c r="K500" s="474">
        <v>459306</v>
      </c>
      <c r="L500" s="475"/>
    </row>
    <row r="501" spans="1:12" x14ac:dyDescent="0.2">
      <c r="A501" s="305">
        <v>130</v>
      </c>
      <c r="B501" s="469" t="s">
        <v>893</v>
      </c>
      <c r="C501" s="476" t="s">
        <v>3982</v>
      </c>
      <c r="D501" s="464"/>
      <c r="E501" s="471" t="s">
        <v>2914</v>
      </c>
      <c r="F501" s="471" t="s">
        <v>2915</v>
      </c>
      <c r="G501" s="464"/>
      <c r="H501" s="477">
        <v>45014</v>
      </c>
      <c r="I501" s="473">
        <f t="shared" si="16"/>
        <v>1105954.054054054</v>
      </c>
      <c r="J501" s="473">
        <f t="shared" si="17"/>
        <v>121654.94594594593</v>
      </c>
      <c r="K501" s="474">
        <f>298566+929043</f>
        <v>1227609</v>
      </c>
      <c r="L501" s="475"/>
    </row>
    <row r="502" spans="1:12" x14ac:dyDescent="0.2">
      <c r="A502" s="305">
        <v>131</v>
      </c>
      <c r="B502" s="485" t="s">
        <v>894</v>
      </c>
      <c r="C502" s="476" t="s">
        <v>3962</v>
      </c>
      <c r="D502" s="464"/>
      <c r="E502" s="465" t="s">
        <v>3027</v>
      </c>
      <c r="F502" s="466" t="s">
        <v>3025</v>
      </c>
      <c r="G502" s="464"/>
      <c r="H502" s="477">
        <v>45015</v>
      </c>
      <c r="I502" s="488">
        <f t="shared" ref="I502:I556" si="18">K502/1.11</f>
        <v>1150000</v>
      </c>
      <c r="J502" s="488">
        <f t="shared" ref="J502:J556" si="19">I502*11%</f>
        <v>126500</v>
      </c>
      <c r="K502" s="474">
        <v>1276500</v>
      </c>
      <c r="L502" s="475"/>
    </row>
    <row r="503" spans="1:12" x14ac:dyDescent="0.2">
      <c r="A503" s="305">
        <v>132</v>
      </c>
      <c r="B503" s="469" t="s">
        <v>895</v>
      </c>
      <c r="C503" s="476" t="s">
        <v>3965</v>
      </c>
      <c r="D503" s="464"/>
      <c r="E503" s="465" t="s">
        <v>3966</v>
      </c>
      <c r="F503" s="466" t="s">
        <v>2858</v>
      </c>
      <c r="G503" s="464"/>
      <c r="H503" s="477">
        <v>45002</v>
      </c>
      <c r="I503" s="473">
        <f t="shared" si="18"/>
        <v>2296021.6216216213</v>
      </c>
      <c r="J503" s="473">
        <f t="shared" si="19"/>
        <v>252562.37837837834</v>
      </c>
      <c r="K503" s="474">
        <v>2548584</v>
      </c>
      <c r="L503" s="475"/>
    </row>
    <row r="504" spans="1:12" x14ac:dyDescent="0.2">
      <c r="A504" s="305">
        <v>133</v>
      </c>
      <c r="B504" s="485" t="s">
        <v>896</v>
      </c>
      <c r="C504" s="476" t="s">
        <v>3970</v>
      </c>
      <c r="D504" s="464"/>
      <c r="E504" s="465" t="s">
        <v>2907</v>
      </c>
      <c r="F504" s="466" t="s">
        <v>2953</v>
      </c>
      <c r="G504" s="464"/>
      <c r="H504" s="477">
        <v>45002</v>
      </c>
      <c r="I504" s="488">
        <f t="shared" si="18"/>
        <v>3028086.4864864862</v>
      </c>
      <c r="J504" s="488">
        <f t="shared" si="19"/>
        <v>333089.51351351349</v>
      </c>
      <c r="K504" s="474">
        <v>3361176</v>
      </c>
      <c r="L504" s="475"/>
    </row>
    <row r="505" spans="1:12" x14ac:dyDescent="0.2">
      <c r="A505" s="305">
        <v>134</v>
      </c>
      <c r="B505" s="469" t="s">
        <v>897</v>
      </c>
      <c r="C505" s="476" t="s">
        <v>3979</v>
      </c>
      <c r="D505" s="464"/>
      <c r="E505" s="465" t="s">
        <v>2961</v>
      </c>
      <c r="F505" s="466" t="s">
        <v>2953</v>
      </c>
      <c r="G505" s="464"/>
      <c r="H505" s="477">
        <v>45005</v>
      </c>
      <c r="I505" s="473">
        <f t="shared" si="18"/>
        <v>6022897.297297297</v>
      </c>
      <c r="J505" s="473">
        <f t="shared" si="19"/>
        <v>662518.70270270272</v>
      </c>
      <c r="K505" s="474">
        <v>6685416</v>
      </c>
      <c r="L505" s="475"/>
    </row>
    <row r="506" spans="1:12" x14ac:dyDescent="0.2">
      <c r="A506" s="305">
        <v>135</v>
      </c>
      <c r="B506" s="485" t="s">
        <v>898</v>
      </c>
      <c r="C506" s="476" t="s">
        <v>4011</v>
      </c>
      <c r="D506" s="464"/>
      <c r="E506" s="465" t="s">
        <v>2939</v>
      </c>
      <c r="F506" s="466" t="s">
        <v>2940</v>
      </c>
      <c r="G506" s="464"/>
      <c r="H506" s="477">
        <v>45005</v>
      </c>
      <c r="I506" s="488">
        <f t="shared" si="18"/>
        <v>5207664.8648648644</v>
      </c>
      <c r="J506" s="488">
        <f t="shared" si="19"/>
        <v>572843.13513513503</v>
      </c>
      <c r="K506" s="474">
        <f>718200+726750+4335558</f>
        <v>5780508</v>
      </c>
      <c r="L506" s="475"/>
    </row>
    <row r="507" spans="1:12" x14ac:dyDescent="0.2">
      <c r="A507" s="305">
        <v>136</v>
      </c>
      <c r="B507" s="469" t="s">
        <v>899</v>
      </c>
      <c r="C507" s="476" t="s">
        <v>3998</v>
      </c>
      <c r="D507" s="464"/>
      <c r="E507" s="465" t="s">
        <v>2934</v>
      </c>
      <c r="F507" s="466" t="s">
        <v>2935</v>
      </c>
      <c r="G507" s="464"/>
      <c r="H507" s="477">
        <v>45006</v>
      </c>
      <c r="I507" s="473">
        <f t="shared" si="18"/>
        <v>2397697.297297297</v>
      </c>
      <c r="J507" s="473">
        <f t="shared" si="19"/>
        <v>263746.70270270266</v>
      </c>
      <c r="K507" s="474">
        <f>1968894+692550</f>
        <v>2661444</v>
      </c>
      <c r="L507" s="475"/>
    </row>
    <row r="508" spans="1:12" x14ac:dyDescent="0.2">
      <c r="A508" s="305">
        <v>137</v>
      </c>
      <c r="B508" s="485" t="s">
        <v>900</v>
      </c>
      <c r="C508" s="476" t="s">
        <v>3990</v>
      </c>
      <c r="D508" s="464"/>
      <c r="E508" s="465" t="s">
        <v>2929</v>
      </c>
      <c r="F508" s="466" t="s">
        <v>2886</v>
      </c>
      <c r="G508" s="464"/>
      <c r="H508" s="477">
        <v>45006</v>
      </c>
      <c r="I508" s="488">
        <f t="shared" si="18"/>
        <v>2230257.6576576573</v>
      </c>
      <c r="J508" s="488">
        <f t="shared" si="19"/>
        <v>245328.34234234231</v>
      </c>
      <c r="K508" s="474">
        <f>1454374+160056+861156</f>
        <v>2475586</v>
      </c>
      <c r="L508" s="475"/>
    </row>
    <row r="509" spans="1:12" x14ac:dyDescent="0.2">
      <c r="A509" s="305">
        <v>138</v>
      </c>
      <c r="B509" s="469" t="s">
        <v>901</v>
      </c>
      <c r="C509" s="476" t="s">
        <v>4003</v>
      </c>
      <c r="D509" s="464"/>
      <c r="E509" s="465" t="s">
        <v>2893</v>
      </c>
      <c r="F509" s="466" t="s">
        <v>2890</v>
      </c>
      <c r="G509" s="464"/>
      <c r="H509" s="477">
        <v>45008</v>
      </c>
      <c r="I509" s="473">
        <f t="shared" si="18"/>
        <v>12486697.297297297</v>
      </c>
      <c r="J509" s="473">
        <f t="shared" si="19"/>
        <v>1373536.7027027027</v>
      </c>
      <c r="K509" s="474">
        <f>6473034+2511648+4875552</f>
        <v>13860234</v>
      </c>
      <c r="L509" s="475"/>
    </row>
    <row r="510" spans="1:12" x14ac:dyDescent="0.2">
      <c r="A510" s="305">
        <v>139</v>
      </c>
      <c r="B510" s="485" t="s">
        <v>902</v>
      </c>
      <c r="C510" s="476" t="s">
        <v>3985</v>
      </c>
      <c r="D510" s="464"/>
      <c r="E510" s="465" t="s">
        <v>3104</v>
      </c>
      <c r="F510" s="466" t="s">
        <v>3061</v>
      </c>
      <c r="G510" s="464"/>
      <c r="H510" s="477">
        <v>45009</v>
      </c>
      <c r="I510" s="488">
        <f t="shared" si="18"/>
        <v>545045.04504504497</v>
      </c>
      <c r="J510" s="488">
        <f t="shared" si="19"/>
        <v>59954.954954954948</v>
      </c>
      <c r="K510" s="474">
        <v>605000</v>
      </c>
      <c r="L510" s="475"/>
    </row>
    <row r="511" spans="1:12" x14ac:dyDescent="0.2">
      <c r="A511" s="305">
        <v>140</v>
      </c>
      <c r="B511" s="469" t="s">
        <v>903</v>
      </c>
      <c r="C511" s="480" t="s">
        <v>3986</v>
      </c>
      <c r="D511" s="481"/>
      <c r="E511" s="482" t="s">
        <v>3133</v>
      </c>
      <c r="F511" s="483" t="s">
        <v>2935</v>
      </c>
      <c r="G511" s="513"/>
      <c r="H511" s="484">
        <v>45009</v>
      </c>
      <c r="I511" s="473">
        <f t="shared" si="18"/>
        <v>5837837.8378378376</v>
      </c>
      <c r="J511" s="473">
        <f t="shared" si="19"/>
        <v>642162.16216216213</v>
      </c>
      <c r="K511" s="474">
        <v>6480000</v>
      </c>
      <c r="L511" s="475"/>
    </row>
    <row r="512" spans="1:12" x14ac:dyDescent="0.2">
      <c r="A512" s="305">
        <v>141</v>
      </c>
      <c r="B512" s="485" t="s">
        <v>904</v>
      </c>
      <c r="C512" s="476" t="s">
        <v>3989</v>
      </c>
      <c r="D512" s="464"/>
      <c r="E512" s="465" t="s">
        <v>2918</v>
      </c>
      <c r="F512" s="466" t="s">
        <v>2919</v>
      </c>
      <c r="G512" s="464"/>
      <c r="H512" s="477">
        <v>45010</v>
      </c>
      <c r="I512" s="488">
        <f t="shared" si="18"/>
        <v>114774.77477477476</v>
      </c>
      <c r="J512" s="488">
        <f t="shared" si="19"/>
        <v>12625.225225225224</v>
      </c>
      <c r="K512" s="474">
        <v>127400</v>
      </c>
      <c r="L512" s="475"/>
    </row>
    <row r="513" spans="1:12" x14ac:dyDescent="0.2">
      <c r="A513" s="305">
        <v>142</v>
      </c>
      <c r="B513" s="469" t="s">
        <v>905</v>
      </c>
      <c r="C513" s="476" t="s">
        <v>3997</v>
      </c>
      <c r="D513" s="464"/>
      <c r="E513" s="465" t="s">
        <v>2907</v>
      </c>
      <c r="F513" s="466" t="s">
        <v>2908</v>
      </c>
      <c r="G513" s="464"/>
      <c r="H513" s="477">
        <v>45010</v>
      </c>
      <c r="I513" s="473">
        <f t="shared" si="18"/>
        <v>2259048.6486486485</v>
      </c>
      <c r="J513" s="473">
        <f t="shared" si="19"/>
        <v>248495.35135135133</v>
      </c>
      <c r="K513" s="474">
        <f>424764+2082780</f>
        <v>2507544</v>
      </c>
      <c r="L513" s="475"/>
    </row>
    <row r="514" spans="1:12" x14ac:dyDescent="0.2">
      <c r="A514" s="305">
        <v>143</v>
      </c>
      <c r="B514" s="485" t="s">
        <v>906</v>
      </c>
      <c r="C514" s="476" t="s">
        <v>3991</v>
      </c>
      <c r="D514" s="464"/>
      <c r="E514" s="465" t="s">
        <v>3992</v>
      </c>
      <c r="F514" s="466" t="s">
        <v>2953</v>
      </c>
      <c r="G514" s="464"/>
      <c r="H514" s="477">
        <v>45010</v>
      </c>
      <c r="I514" s="488">
        <f t="shared" si="18"/>
        <v>5804448.6486486485</v>
      </c>
      <c r="J514" s="488">
        <f t="shared" si="19"/>
        <v>638489.35135135136</v>
      </c>
      <c r="K514" s="474">
        <v>6442938</v>
      </c>
      <c r="L514" s="475"/>
    </row>
    <row r="515" spans="1:12" x14ac:dyDescent="0.2">
      <c r="A515" s="305">
        <v>144</v>
      </c>
      <c r="B515" s="469" t="s">
        <v>907</v>
      </c>
      <c r="C515" s="476" t="s">
        <v>3993</v>
      </c>
      <c r="D515" s="464"/>
      <c r="E515" s="465" t="s">
        <v>3106</v>
      </c>
      <c r="F515" s="466" t="s">
        <v>2946</v>
      </c>
      <c r="G515" s="464"/>
      <c r="H515" s="477">
        <v>45010</v>
      </c>
      <c r="I515" s="473">
        <f t="shared" si="18"/>
        <v>1714144.1441441439</v>
      </c>
      <c r="J515" s="473">
        <f t="shared" si="19"/>
        <v>188555.85585585583</v>
      </c>
      <c r="K515" s="474">
        <f>1366700+536000</f>
        <v>1902700</v>
      </c>
      <c r="L515" s="475"/>
    </row>
    <row r="516" spans="1:12" x14ac:dyDescent="0.2">
      <c r="A516" s="305">
        <v>145</v>
      </c>
      <c r="B516" s="485" t="s">
        <v>908</v>
      </c>
      <c r="C516" s="480" t="s">
        <v>4018</v>
      </c>
      <c r="D516" s="481"/>
      <c r="E516" s="482" t="s">
        <v>2885</v>
      </c>
      <c r="F516" s="483" t="s">
        <v>2886</v>
      </c>
      <c r="G516" s="513"/>
      <c r="H516" s="484">
        <v>45012</v>
      </c>
      <c r="I516" s="488">
        <f t="shared" si="18"/>
        <v>13252499.999999998</v>
      </c>
      <c r="J516" s="488">
        <f t="shared" si="19"/>
        <v>1457774.9999999998</v>
      </c>
      <c r="K516" s="474">
        <f>5202675+3421710+6085890</f>
        <v>14710275</v>
      </c>
      <c r="L516" s="475"/>
    </row>
    <row r="517" spans="1:12" x14ac:dyDescent="0.2">
      <c r="A517" s="305">
        <v>146</v>
      </c>
      <c r="B517" s="469" t="s">
        <v>909</v>
      </c>
      <c r="C517" s="476" t="s">
        <v>4021</v>
      </c>
      <c r="D517" s="464"/>
      <c r="E517" s="465" t="s">
        <v>3461</v>
      </c>
      <c r="F517" s="466" t="s">
        <v>2890</v>
      </c>
      <c r="G517" s="464"/>
      <c r="H517" s="477">
        <v>45014</v>
      </c>
      <c r="I517" s="473">
        <f t="shared" si="18"/>
        <v>9605578.3783783782</v>
      </c>
      <c r="J517" s="473">
        <f t="shared" si="19"/>
        <v>1056613.6216216215</v>
      </c>
      <c r="K517" s="474">
        <f>2462400+8199792</f>
        <v>10662192</v>
      </c>
      <c r="L517" s="475"/>
    </row>
    <row r="518" spans="1:12" x14ac:dyDescent="0.2">
      <c r="A518" s="305">
        <v>147</v>
      </c>
      <c r="B518" s="485" t="s">
        <v>910</v>
      </c>
      <c r="C518" s="476" t="s">
        <v>3999</v>
      </c>
      <c r="D518" s="464"/>
      <c r="E518" s="465" t="s">
        <v>4000</v>
      </c>
      <c r="F518" s="466" t="s">
        <v>4001</v>
      </c>
      <c r="G518" s="464"/>
      <c r="H518" s="477">
        <v>45015</v>
      </c>
      <c r="I518" s="488">
        <f t="shared" si="18"/>
        <v>114616.21621621621</v>
      </c>
      <c r="J518" s="488">
        <f t="shared" si="19"/>
        <v>12607.783783783783</v>
      </c>
      <c r="K518" s="474">
        <v>127224</v>
      </c>
      <c r="L518" s="475"/>
    </row>
    <row r="519" spans="1:12" x14ac:dyDescent="0.2">
      <c r="A519" s="305">
        <v>148</v>
      </c>
      <c r="B519" s="469" t="s">
        <v>911</v>
      </c>
      <c r="C519" s="476" t="s">
        <v>4002</v>
      </c>
      <c r="D519" s="464"/>
      <c r="E519" s="465" t="s">
        <v>2889</v>
      </c>
      <c r="F519" s="466" t="s">
        <v>2808</v>
      </c>
      <c r="G519" s="464"/>
      <c r="H519" s="477">
        <v>45015</v>
      </c>
      <c r="I519" s="473">
        <f t="shared" si="18"/>
        <v>4059632.4324324322</v>
      </c>
      <c r="J519" s="473">
        <f t="shared" si="19"/>
        <v>446559.56756756752</v>
      </c>
      <c r="K519" s="474">
        <v>4506192</v>
      </c>
      <c r="L519" s="475"/>
    </row>
    <row r="520" spans="1:12" x14ac:dyDescent="0.2">
      <c r="A520" s="305">
        <v>149</v>
      </c>
      <c r="B520" s="485" t="s">
        <v>912</v>
      </c>
      <c r="C520" s="476" t="s">
        <v>4004</v>
      </c>
      <c r="D520" s="464"/>
      <c r="E520" s="465" t="s">
        <v>3494</v>
      </c>
      <c r="F520" s="466" t="s">
        <v>2912</v>
      </c>
      <c r="G520" s="464"/>
      <c r="H520" s="477">
        <v>45015</v>
      </c>
      <c r="I520" s="488">
        <f t="shared" si="18"/>
        <v>2865405.405405405</v>
      </c>
      <c r="J520" s="488">
        <f t="shared" si="19"/>
        <v>315194.59459459456</v>
      </c>
      <c r="K520" s="474">
        <v>3180600</v>
      </c>
      <c r="L520" s="475"/>
    </row>
    <row r="521" spans="1:12" x14ac:dyDescent="0.2">
      <c r="A521" s="305">
        <v>150</v>
      </c>
      <c r="B521" s="469" t="s">
        <v>913</v>
      </c>
      <c r="C521" s="476" t="s">
        <v>4014</v>
      </c>
      <c r="D521" s="464"/>
      <c r="E521" s="465" t="s">
        <v>3164</v>
      </c>
      <c r="F521" s="466" t="s">
        <v>2928</v>
      </c>
      <c r="G521" s="464"/>
      <c r="H521" s="477">
        <v>45015</v>
      </c>
      <c r="I521" s="473">
        <f t="shared" si="18"/>
        <v>8268081.0810810803</v>
      </c>
      <c r="J521" s="473">
        <f t="shared" si="19"/>
        <v>909488.91891891882</v>
      </c>
      <c r="K521" s="474">
        <f>5355720+1359450+2462400</f>
        <v>9177570</v>
      </c>
      <c r="L521" s="475"/>
    </row>
    <row r="522" spans="1:12" x14ac:dyDescent="0.2">
      <c r="A522" s="305">
        <v>151</v>
      </c>
      <c r="B522" s="485" t="s">
        <v>914</v>
      </c>
      <c r="C522" s="476" t="s">
        <v>4005</v>
      </c>
      <c r="D522" s="464"/>
      <c r="E522" s="465" t="s">
        <v>2907</v>
      </c>
      <c r="F522" s="466" t="s">
        <v>2926</v>
      </c>
      <c r="G522" s="464"/>
      <c r="H522" s="477">
        <v>45015</v>
      </c>
      <c r="I522" s="488">
        <f t="shared" si="18"/>
        <v>2273837.8378378376</v>
      </c>
      <c r="J522" s="488">
        <f t="shared" si="19"/>
        <v>250122.16216216213</v>
      </c>
      <c r="K522" s="474">
        <v>2523960</v>
      </c>
      <c r="L522" s="475"/>
    </row>
    <row r="523" spans="1:12" x14ac:dyDescent="0.2">
      <c r="A523" s="305">
        <v>152</v>
      </c>
      <c r="B523" s="469" t="s">
        <v>915</v>
      </c>
      <c r="C523" s="476" t="s">
        <v>4006</v>
      </c>
      <c r="D523" s="464"/>
      <c r="E523" s="465" t="s">
        <v>6909</v>
      </c>
      <c r="F523" s="466" t="s">
        <v>2886</v>
      </c>
      <c r="G523" s="464"/>
      <c r="H523" s="477">
        <v>45015</v>
      </c>
      <c r="I523" s="473">
        <f t="shared" si="18"/>
        <v>921243.2432432432</v>
      </c>
      <c r="J523" s="473">
        <f t="shared" si="19"/>
        <v>101336.75675675675</v>
      </c>
      <c r="K523" s="474">
        <v>1022580</v>
      </c>
      <c r="L523" s="475"/>
    </row>
    <row r="524" spans="1:12" x14ac:dyDescent="0.2">
      <c r="A524" s="305">
        <v>153</v>
      </c>
      <c r="B524" s="485" t="s">
        <v>916</v>
      </c>
      <c r="C524" s="480" t="s">
        <v>4017</v>
      </c>
      <c r="D524" s="481"/>
      <c r="E524" s="482" t="s">
        <v>4008</v>
      </c>
      <c r="F524" s="483" t="s">
        <v>2828</v>
      </c>
      <c r="G524" s="513"/>
      <c r="H524" s="484">
        <v>45016</v>
      </c>
      <c r="I524" s="488">
        <f t="shared" si="18"/>
        <v>5708108.1081081079</v>
      </c>
      <c r="J524" s="488">
        <f t="shared" si="19"/>
        <v>627891.89189189184</v>
      </c>
      <c r="K524" s="474">
        <f>3168000+3168000</f>
        <v>6336000</v>
      </c>
      <c r="L524" s="475"/>
    </row>
    <row r="525" spans="1:12" x14ac:dyDescent="0.2">
      <c r="A525" s="305">
        <v>154</v>
      </c>
      <c r="B525" s="469" t="s">
        <v>917</v>
      </c>
      <c r="C525" s="476" t="s">
        <v>4009</v>
      </c>
      <c r="D525" s="464"/>
      <c r="E525" s="465" t="s">
        <v>3020</v>
      </c>
      <c r="F525" s="466" t="s">
        <v>3021</v>
      </c>
      <c r="G525" s="464"/>
      <c r="H525" s="477">
        <v>45016</v>
      </c>
      <c r="I525" s="473">
        <f t="shared" si="18"/>
        <v>6097767.5675675673</v>
      </c>
      <c r="J525" s="473">
        <f t="shared" si="19"/>
        <v>670754.43243243243</v>
      </c>
      <c r="K525" s="474">
        <v>6768522</v>
      </c>
      <c r="L525" s="475"/>
    </row>
    <row r="526" spans="1:12" x14ac:dyDescent="0.2">
      <c r="A526" s="305">
        <v>155</v>
      </c>
      <c r="B526" s="485" t="s">
        <v>918</v>
      </c>
      <c r="C526" s="476" t="s">
        <v>4010</v>
      </c>
      <c r="D526" s="464"/>
      <c r="E526" s="465" t="s">
        <v>2954</v>
      </c>
      <c r="F526" s="466" t="s">
        <v>2955</v>
      </c>
      <c r="G526" s="464"/>
      <c r="H526" s="477">
        <v>45016</v>
      </c>
      <c r="I526" s="488">
        <f t="shared" si="18"/>
        <v>3452351.351351351</v>
      </c>
      <c r="J526" s="488">
        <f t="shared" si="19"/>
        <v>379758.64864864864</v>
      </c>
      <c r="K526" s="474">
        <v>3832110</v>
      </c>
      <c r="L526" s="475"/>
    </row>
    <row r="527" spans="1:12" x14ac:dyDescent="0.2">
      <c r="A527" s="305">
        <v>156</v>
      </c>
      <c r="B527" s="469" t="s">
        <v>919</v>
      </c>
      <c r="C527" s="476" t="s">
        <v>4013</v>
      </c>
      <c r="D527" s="464"/>
      <c r="E527" s="465" t="s">
        <v>2881</v>
      </c>
      <c r="F527" s="466" t="s">
        <v>2808</v>
      </c>
      <c r="G527" s="464"/>
      <c r="H527" s="477">
        <v>45016</v>
      </c>
      <c r="I527" s="473">
        <f t="shared" si="18"/>
        <v>1644372.9729729728</v>
      </c>
      <c r="J527" s="473">
        <f t="shared" si="19"/>
        <v>180881.02702702701</v>
      </c>
      <c r="K527" s="474">
        <v>1825254</v>
      </c>
      <c r="L527" s="475"/>
    </row>
    <row r="528" spans="1:12" x14ac:dyDescent="0.2">
      <c r="A528" s="305">
        <v>157</v>
      </c>
      <c r="B528" s="485" t="s">
        <v>920</v>
      </c>
      <c r="C528" s="476" t="s">
        <v>4041</v>
      </c>
      <c r="D528" s="464"/>
      <c r="E528" s="465" t="s">
        <v>2878</v>
      </c>
      <c r="F528" s="466" t="s">
        <v>2879</v>
      </c>
      <c r="G528" s="464"/>
      <c r="H528" s="477">
        <v>44991</v>
      </c>
      <c r="I528" s="488">
        <f t="shared" si="18"/>
        <v>4924800</v>
      </c>
      <c r="J528" s="488">
        <f t="shared" si="19"/>
        <v>541728</v>
      </c>
      <c r="K528" s="474">
        <f>3250368+2216160</f>
        <v>5466528</v>
      </c>
      <c r="L528" s="475"/>
    </row>
    <row r="529" spans="1:12" x14ac:dyDescent="0.2">
      <c r="A529" s="305">
        <v>158</v>
      </c>
      <c r="B529" s="469" t="s">
        <v>921</v>
      </c>
      <c r="C529" s="480" t="s">
        <v>4015</v>
      </c>
      <c r="D529" s="481"/>
      <c r="E529" s="482" t="s">
        <v>3455</v>
      </c>
      <c r="F529" s="483" t="s">
        <v>2888</v>
      </c>
      <c r="G529" s="513"/>
      <c r="H529" s="484">
        <v>45016</v>
      </c>
      <c r="I529" s="473">
        <f t="shared" si="18"/>
        <v>221837.83783783781</v>
      </c>
      <c r="J529" s="473">
        <f t="shared" si="19"/>
        <v>24402.16216216216</v>
      </c>
      <c r="K529" s="474">
        <v>246240</v>
      </c>
      <c r="L529" s="475"/>
    </row>
    <row r="530" spans="1:12" x14ac:dyDescent="0.2">
      <c r="A530" s="305">
        <v>159</v>
      </c>
      <c r="B530" s="485" t="s">
        <v>922</v>
      </c>
      <c r="C530" s="476" t="s">
        <v>4019</v>
      </c>
      <c r="D530" s="464"/>
      <c r="E530" s="465" t="s">
        <v>3082</v>
      </c>
      <c r="F530" s="466" t="s">
        <v>3061</v>
      </c>
      <c r="G530" s="464"/>
      <c r="H530" s="477">
        <v>45016</v>
      </c>
      <c r="I530" s="488">
        <f t="shared" si="18"/>
        <v>1459459.4594594594</v>
      </c>
      <c r="J530" s="488">
        <f t="shared" si="19"/>
        <v>160540.54054054053</v>
      </c>
      <c r="K530" s="474">
        <v>1620000</v>
      </c>
      <c r="L530" s="475"/>
    </row>
    <row r="531" spans="1:12" x14ac:dyDescent="0.2">
      <c r="A531" s="305">
        <v>160</v>
      </c>
      <c r="B531" s="469" t="s">
        <v>923</v>
      </c>
      <c r="C531" s="476" t="s">
        <v>4020</v>
      </c>
      <c r="D531" s="464"/>
      <c r="E531" s="465" t="s">
        <v>2936</v>
      </c>
      <c r="F531" s="466" t="s">
        <v>2922</v>
      </c>
      <c r="G531" s="464"/>
      <c r="H531" s="477">
        <v>45016</v>
      </c>
      <c r="I531" s="473">
        <f t="shared" si="18"/>
        <v>2243251.351351351</v>
      </c>
      <c r="J531" s="473">
        <f t="shared" si="19"/>
        <v>246757.64864864861</v>
      </c>
      <c r="K531" s="474">
        <v>2490009</v>
      </c>
      <c r="L531" s="475"/>
    </row>
    <row r="532" spans="1:12" x14ac:dyDescent="0.2">
      <c r="A532" s="305">
        <v>161</v>
      </c>
      <c r="B532" s="485" t="s">
        <v>924</v>
      </c>
      <c r="C532" s="476" t="s">
        <v>4022</v>
      </c>
      <c r="D532" s="464"/>
      <c r="E532" s="465" t="s">
        <v>2907</v>
      </c>
      <c r="F532" s="466" t="s">
        <v>2858</v>
      </c>
      <c r="G532" s="464"/>
      <c r="H532" s="477">
        <v>45016</v>
      </c>
      <c r="I532" s="488">
        <f t="shared" si="18"/>
        <v>15378908.108108107</v>
      </c>
      <c r="J532" s="488">
        <f t="shared" si="19"/>
        <v>1691679.8918918918</v>
      </c>
      <c r="K532" s="474">
        <v>17070588</v>
      </c>
      <c r="L532" s="475"/>
    </row>
    <row r="533" spans="1:12" x14ac:dyDescent="0.2">
      <c r="A533" s="305">
        <v>162</v>
      </c>
      <c r="B533" s="469" t="s">
        <v>925</v>
      </c>
      <c r="C533" s="476" t="s">
        <v>4023</v>
      </c>
      <c r="D533" s="464"/>
      <c r="E533" s="465" t="s">
        <v>2939</v>
      </c>
      <c r="F533" s="466" t="s">
        <v>2940</v>
      </c>
      <c r="G533" s="464"/>
      <c r="H533" s="477">
        <v>45016</v>
      </c>
      <c r="I533" s="473">
        <f t="shared" si="18"/>
        <v>2085275.6756756755</v>
      </c>
      <c r="J533" s="473">
        <f t="shared" si="19"/>
        <v>229380.32432432432</v>
      </c>
      <c r="K533" s="474">
        <v>2314656</v>
      </c>
      <c r="L533" s="475"/>
    </row>
    <row r="534" spans="1:12" x14ac:dyDescent="0.2">
      <c r="A534" s="305">
        <v>163</v>
      </c>
      <c r="B534" s="485" t="s">
        <v>926</v>
      </c>
      <c r="C534" s="476" t="s">
        <v>4024</v>
      </c>
      <c r="D534" s="464"/>
      <c r="E534" s="465" t="s">
        <v>2927</v>
      </c>
      <c r="F534" s="466" t="s">
        <v>2928</v>
      </c>
      <c r="G534" s="464"/>
      <c r="H534" s="477">
        <v>45016</v>
      </c>
      <c r="I534" s="488">
        <f t="shared" si="18"/>
        <v>2639870.2702702698</v>
      </c>
      <c r="J534" s="488">
        <f t="shared" si="19"/>
        <v>290385.7297297297</v>
      </c>
      <c r="K534" s="474">
        <v>2930256</v>
      </c>
      <c r="L534" s="475"/>
    </row>
    <row r="535" spans="1:12" x14ac:dyDescent="0.2">
      <c r="A535" s="305">
        <v>164</v>
      </c>
      <c r="B535" s="469" t="s">
        <v>927</v>
      </c>
      <c r="C535" s="476" t="s">
        <v>4025</v>
      </c>
      <c r="D535" s="464"/>
      <c r="E535" s="465" t="s">
        <v>4026</v>
      </c>
      <c r="F535" s="466" t="s">
        <v>3033</v>
      </c>
      <c r="G535" s="464"/>
      <c r="H535" s="477">
        <v>45016</v>
      </c>
      <c r="I535" s="473">
        <f t="shared" si="18"/>
        <v>7331740.5405405397</v>
      </c>
      <c r="J535" s="473">
        <f t="shared" si="19"/>
        <v>806491.45945945941</v>
      </c>
      <c r="K535" s="474">
        <v>8138232</v>
      </c>
      <c r="L535" s="475"/>
    </row>
    <row r="536" spans="1:12" x14ac:dyDescent="0.2">
      <c r="A536" s="305">
        <v>165</v>
      </c>
      <c r="B536" s="485" t="s">
        <v>928</v>
      </c>
      <c r="C536" s="476" t="s">
        <v>4057</v>
      </c>
      <c r="D536" s="464"/>
      <c r="E536" s="465" t="s">
        <v>2898</v>
      </c>
      <c r="F536" s="466" t="s">
        <v>2823</v>
      </c>
      <c r="G536" s="464"/>
      <c r="H536" s="477">
        <v>44992</v>
      </c>
      <c r="I536" s="488">
        <f t="shared" si="18"/>
        <v>27067913.513513513</v>
      </c>
      <c r="J536" s="488">
        <f t="shared" si="19"/>
        <v>2977470.4864864866</v>
      </c>
      <c r="K536" s="474">
        <f>6976800+20446128+2622456</f>
        <v>30045384</v>
      </c>
      <c r="L536" s="475"/>
    </row>
    <row r="537" spans="1:12" x14ac:dyDescent="0.2">
      <c r="A537" s="305">
        <v>166</v>
      </c>
      <c r="B537" s="469" t="s">
        <v>929</v>
      </c>
      <c r="C537" s="480" t="s">
        <v>4029</v>
      </c>
      <c r="D537" s="481"/>
      <c r="E537" s="482" t="s">
        <v>2900</v>
      </c>
      <c r="F537" s="483" t="s">
        <v>2823</v>
      </c>
      <c r="G537" s="513"/>
      <c r="H537" s="484">
        <v>44999</v>
      </c>
      <c r="I537" s="473">
        <f t="shared" si="18"/>
        <v>1306070.2702702701</v>
      </c>
      <c r="J537" s="473">
        <f t="shared" si="19"/>
        <v>143667.7297297297</v>
      </c>
      <c r="K537" s="474">
        <v>1449738</v>
      </c>
      <c r="L537" s="475"/>
    </row>
    <row r="538" spans="1:12" x14ac:dyDescent="0.2">
      <c r="A538" s="305">
        <v>167</v>
      </c>
      <c r="B538" s="485" t="s">
        <v>930</v>
      </c>
      <c r="C538" s="476" t="s">
        <v>4056</v>
      </c>
      <c r="D538" s="464"/>
      <c r="E538" s="465" t="s">
        <v>2937</v>
      </c>
      <c r="F538" s="466" t="s">
        <v>2823</v>
      </c>
      <c r="G538" s="464"/>
      <c r="H538" s="477">
        <v>44991</v>
      </c>
      <c r="I538" s="488">
        <f t="shared" si="18"/>
        <v>25424310.810810808</v>
      </c>
      <c r="J538" s="488">
        <f t="shared" si="19"/>
        <v>2796674.1891891891</v>
      </c>
      <c r="K538" s="474">
        <f>8099244+17979966+2141775</f>
        <v>28220985</v>
      </c>
      <c r="L538" s="475"/>
    </row>
    <row r="539" spans="1:12" x14ac:dyDescent="0.2">
      <c r="A539" s="305">
        <v>168</v>
      </c>
      <c r="B539" s="469" t="s">
        <v>931</v>
      </c>
      <c r="C539" s="476" t="s">
        <v>4033</v>
      </c>
      <c r="D539" s="464"/>
      <c r="E539" s="465" t="s">
        <v>3011</v>
      </c>
      <c r="F539" s="466" t="s">
        <v>2823</v>
      </c>
      <c r="G539" s="464"/>
      <c r="H539" s="477">
        <v>44988</v>
      </c>
      <c r="I539" s="473">
        <f t="shared" si="18"/>
        <v>3823929.7297297292</v>
      </c>
      <c r="J539" s="473">
        <f t="shared" si="19"/>
        <v>420632.27027027024</v>
      </c>
      <c r="K539" s="474">
        <v>4244562</v>
      </c>
      <c r="L539" s="475"/>
    </row>
    <row r="540" spans="1:12" x14ac:dyDescent="0.2">
      <c r="A540" s="305">
        <v>169</v>
      </c>
      <c r="B540" s="485" t="s">
        <v>932</v>
      </c>
      <c r="C540" s="476" t="s">
        <v>4035</v>
      </c>
      <c r="D540" s="464"/>
      <c r="E540" s="465" t="s">
        <v>2933</v>
      </c>
      <c r="F540" s="466" t="s">
        <v>2823</v>
      </c>
      <c r="G540" s="464"/>
      <c r="H540" s="477">
        <v>44996</v>
      </c>
      <c r="I540" s="488">
        <f t="shared" si="18"/>
        <v>4172414.4144144142</v>
      </c>
      <c r="J540" s="488">
        <f t="shared" si="19"/>
        <v>458965.58558558556</v>
      </c>
      <c r="K540" s="474">
        <v>4631380</v>
      </c>
      <c r="L540" s="475"/>
    </row>
    <row r="541" spans="1:12" x14ac:dyDescent="0.2">
      <c r="A541" s="305">
        <v>170</v>
      </c>
      <c r="B541" s="469" t="s">
        <v>933</v>
      </c>
      <c r="C541" s="476" t="s">
        <v>4058</v>
      </c>
      <c r="D541" s="464"/>
      <c r="E541" s="465" t="s">
        <v>2947</v>
      </c>
      <c r="F541" s="466" t="s">
        <v>2823</v>
      </c>
      <c r="G541" s="464"/>
      <c r="H541" s="477">
        <v>45005</v>
      </c>
      <c r="I541" s="473">
        <f t="shared" si="18"/>
        <v>6051397.297297297</v>
      </c>
      <c r="J541" s="473">
        <f t="shared" si="19"/>
        <v>665653.70270270272</v>
      </c>
      <c r="K541" s="474">
        <f>2762847+3954204</f>
        <v>6717051</v>
      </c>
      <c r="L541" s="475"/>
    </row>
    <row r="542" spans="1:12" x14ac:dyDescent="0.2">
      <c r="A542" s="305">
        <v>171</v>
      </c>
      <c r="B542" s="485" t="s">
        <v>934</v>
      </c>
      <c r="C542" s="476" t="s">
        <v>4036</v>
      </c>
      <c r="D542" s="464"/>
      <c r="E542" s="465" t="s">
        <v>2970</v>
      </c>
      <c r="F542" s="466" t="s">
        <v>2946</v>
      </c>
      <c r="G542" s="464"/>
      <c r="H542" s="477">
        <v>44989</v>
      </c>
      <c r="I542" s="488">
        <f t="shared" si="18"/>
        <v>1405897.2972972973</v>
      </c>
      <c r="J542" s="488">
        <f t="shared" si="19"/>
        <v>154648.70270270269</v>
      </c>
      <c r="K542" s="474">
        <v>1560546</v>
      </c>
      <c r="L542" s="475"/>
    </row>
    <row r="543" spans="1:12" x14ac:dyDescent="0.2">
      <c r="A543" s="305">
        <v>172</v>
      </c>
      <c r="B543" s="469" t="s">
        <v>935</v>
      </c>
      <c r="C543" s="476" t="s">
        <v>4038</v>
      </c>
      <c r="D543" s="464"/>
      <c r="E543" s="465" t="s">
        <v>3051</v>
      </c>
      <c r="F543" s="466" t="s">
        <v>3052</v>
      </c>
      <c r="G543" s="464"/>
      <c r="H543" s="477">
        <v>44991</v>
      </c>
      <c r="I543" s="473">
        <f t="shared" si="18"/>
        <v>1171171.1711711711</v>
      </c>
      <c r="J543" s="473">
        <f t="shared" si="19"/>
        <v>128828.82882882883</v>
      </c>
      <c r="K543" s="474">
        <v>1300000</v>
      </c>
      <c r="L543" s="475"/>
    </row>
    <row r="544" spans="1:12" x14ac:dyDescent="0.2">
      <c r="A544" s="305">
        <v>173</v>
      </c>
      <c r="B544" s="485" t="s">
        <v>936</v>
      </c>
      <c r="C544" s="476" t="s">
        <v>4039</v>
      </c>
      <c r="D544" s="464"/>
      <c r="E544" s="465" t="s">
        <v>2893</v>
      </c>
      <c r="F544" s="466" t="s">
        <v>2890</v>
      </c>
      <c r="G544" s="464"/>
      <c r="H544" s="477">
        <v>44991</v>
      </c>
      <c r="I544" s="488">
        <f t="shared" si="18"/>
        <v>1830162.1621621619</v>
      </c>
      <c r="J544" s="488">
        <f t="shared" si="19"/>
        <v>201317.83783783781</v>
      </c>
      <c r="K544" s="474">
        <v>2031480</v>
      </c>
      <c r="L544" s="475"/>
    </row>
    <row r="545" spans="1:12" x14ac:dyDescent="0.2">
      <c r="A545" s="305">
        <v>174</v>
      </c>
      <c r="B545" s="469" t="s">
        <v>937</v>
      </c>
      <c r="C545" s="476" t="s">
        <v>4040</v>
      </c>
      <c r="D545" s="464"/>
      <c r="E545" s="465" t="s">
        <v>3581</v>
      </c>
      <c r="F545" s="466" t="s">
        <v>2944</v>
      </c>
      <c r="G545" s="464"/>
      <c r="H545" s="477">
        <v>44991</v>
      </c>
      <c r="I545" s="473">
        <f t="shared" si="18"/>
        <v>7027027.0270270268</v>
      </c>
      <c r="J545" s="473">
        <f t="shared" si="19"/>
        <v>772972.9729729729</v>
      </c>
      <c r="K545" s="474">
        <v>7800000</v>
      </c>
      <c r="L545" s="475"/>
    </row>
    <row r="546" spans="1:12" x14ac:dyDescent="0.2">
      <c r="A546" s="305">
        <v>175</v>
      </c>
      <c r="B546" s="485" t="s">
        <v>938</v>
      </c>
      <c r="C546" s="476" t="s">
        <v>4042</v>
      </c>
      <c r="D546" s="464"/>
      <c r="E546" s="465" t="s">
        <v>4043</v>
      </c>
      <c r="F546" s="466" t="s">
        <v>2940</v>
      </c>
      <c r="G546" s="464"/>
      <c r="H546" s="477">
        <v>44992</v>
      </c>
      <c r="I546" s="488">
        <f t="shared" si="18"/>
        <v>885810.81081081077</v>
      </c>
      <c r="J546" s="488">
        <f t="shared" si="19"/>
        <v>97439.189189189186</v>
      </c>
      <c r="K546" s="474">
        <v>983250</v>
      </c>
      <c r="L546" s="475"/>
    </row>
    <row r="547" spans="1:12" x14ac:dyDescent="0.2">
      <c r="A547" s="305">
        <v>176</v>
      </c>
      <c r="B547" s="469" t="s">
        <v>939</v>
      </c>
      <c r="C547" s="476" t="s">
        <v>4044</v>
      </c>
      <c r="D547" s="464"/>
      <c r="E547" s="465" t="s">
        <v>4045</v>
      </c>
      <c r="F547" s="466" t="s">
        <v>3047</v>
      </c>
      <c r="G547" s="464"/>
      <c r="H547" s="477">
        <v>45002</v>
      </c>
      <c r="I547" s="473">
        <f t="shared" si="18"/>
        <v>602354.95495495491</v>
      </c>
      <c r="J547" s="473">
        <f t="shared" si="19"/>
        <v>66259.045045045044</v>
      </c>
      <c r="K547" s="474">
        <v>668614</v>
      </c>
      <c r="L547" s="475"/>
    </row>
    <row r="548" spans="1:12" x14ac:dyDescent="0.2">
      <c r="A548" s="305">
        <v>177</v>
      </c>
      <c r="B548" s="485" t="s">
        <v>940</v>
      </c>
      <c r="C548" s="480" t="s">
        <v>4048</v>
      </c>
      <c r="D548" s="481"/>
      <c r="E548" s="482" t="s">
        <v>4049</v>
      </c>
      <c r="F548" s="483" t="s">
        <v>2828</v>
      </c>
      <c r="G548" s="513"/>
      <c r="H548" s="484">
        <v>45015</v>
      </c>
      <c r="I548" s="488">
        <f t="shared" si="18"/>
        <v>6145216.2162162159</v>
      </c>
      <c r="J548" s="488">
        <f t="shared" si="19"/>
        <v>675973.78378378379</v>
      </c>
      <c r="K548" s="474">
        <v>6821190</v>
      </c>
      <c r="L548" s="475"/>
    </row>
    <row r="549" spans="1:12" x14ac:dyDescent="0.2">
      <c r="A549" s="305">
        <v>178</v>
      </c>
      <c r="B549" s="469" t="s">
        <v>941</v>
      </c>
      <c r="C549" s="476" t="s">
        <v>4050</v>
      </c>
      <c r="D549" s="464"/>
      <c r="E549" s="465" t="s">
        <v>3536</v>
      </c>
      <c r="F549" s="466" t="s">
        <v>2877</v>
      </c>
      <c r="G549" s="464"/>
      <c r="H549" s="477">
        <v>45016</v>
      </c>
      <c r="I549" s="473">
        <f t="shared" si="18"/>
        <v>5804054.0540540535</v>
      </c>
      <c r="J549" s="473">
        <f t="shared" si="19"/>
        <v>638445.94594594592</v>
      </c>
      <c r="K549" s="474">
        <v>6442500</v>
      </c>
      <c r="L549" s="475"/>
    </row>
    <row r="550" spans="1:12" x14ac:dyDescent="0.2">
      <c r="A550" s="305">
        <v>179</v>
      </c>
      <c r="B550" s="485" t="s">
        <v>942</v>
      </c>
      <c r="C550" s="476" t="s">
        <v>4055</v>
      </c>
      <c r="D550" s="464"/>
      <c r="E550" s="465" t="s">
        <v>2995</v>
      </c>
      <c r="F550" s="466" t="s">
        <v>2858</v>
      </c>
      <c r="G550" s="464"/>
      <c r="H550" s="477">
        <v>45016</v>
      </c>
      <c r="I550" s="488">
        <f t="shared" si="18"/>
        <v>556756.75675675669</v>
      </c>
      <c r="J550" s="488">
        <f t="shared" si="19"/>
        <v>61243.243243243232</v>
      </c>
      <c r="K550" s="474">
        <v>618000</v>
      </c>
      <c r="L550" s="475"/>
    </row>
    <row r="551" spans="1:12" x14ac:dyDescent="0.2">
      <c r="A551" s="305">
        <v>180</v>
      </c>
      <c r="B551" s="469" t="s">
        <v>943</v>
      </c>
      <c r="C551" s="476" t="s">
        <v>4132</v>
      </c>
      <c r="D551" s="464"/>
      <c r="E551" s="465" t="s">
        <v>3605</v>
      </c>
      <c r="F551" s="466" t="s">
        <v>2915</v>
      </c>
      <c r="G551" s="464"/>
      <c r="H551" s="477">
        <v>44989</v>
      </c>
      <c r="I551" s="473">
        <f t="shared" si="18"/>
        <v>13766101.801801801</v>
      </c>
      <c r="J551" s="473">
        <f t="shared" si="19"/>
        <v>1514271.1981981981</v>
      </c>
      <c r="K551" s="474">
        <f>8825465+6454908</f>
        <v>15280373</v>
      </c>
      <c r="L551" s="475"/>
    </row>
    <row r="552" spans="1:12" x14ac:dyDescent="0.2">
      <c r="A552" s="305">
        <v>181</v>
      </c>
      <c r="B552" s="485" t="s">
        <v>944</v>
      </c>
      <c r="C552" s="476" t="s">
        <v>4133</v>
      </c>
      <c r="D552" s="464"/>
      <c r="E552" s="465" t="s">
        <v>3605</v>
      </c>
      <c r="F552" s="466" t="s">
        <v>2915</v>
      </c>
      <c r="G552" s="464"/>
      <c r="H552" s="477">
        <v>45013</v>
      </c>
      <c r="I552" s="488">
        <f t="shared" si="18"/>
        <v>22946967.567567565</v>
      </c>
      <c r="J552" s="488">
        <f t="shared" si="19"/>
        <v>2524166.4324324322</v>
      </c>
      <c r="K552" s="474">
        <f>15479946+9991188</f>
        <v>25471134</v>
      </c>
      <c r="L552" s="475"/>
    </row>
    <row r="553" spans="1:12" x14ac:dyDescent="0.2">
      <c r="A553" s="305">
        <v>182</v>
      </c>
      <c r="B553" s="469" t="s">
        <v>945</v>
      </c>
      <c r="C553" s="480" t="s">
        <v>4059</v>
      </c>
      <c r="D553" s="481"/>
      <c r="E553" s="482" t="s">
        <v>2937</v>
      </c>
      <c r="F553" s="483" t="s">
        <v>2823</v>
      </c>
      <c r="G553" s="513"/>
      <c r="H553" s="484">
        <v>45014</v>
      </c>
      <c r="I553" s="473">
        <f t="shared" si="18"/>
        <v>7021167.5675675673</v>
      </c>
      <c r="J553" s="473">
        <f t="shared" si="19"/>
        <v>772328.43243243243</v>
      </c>
      <c r="K553" s="474">
        <v>7793496</v>
      </c>
      <c r="L553" s="475"/>
    </row>
    <row r="554" spans="1:12" x14ac:dyDescent="0.2">
      <c r="A554" s="305">
        <v>183</v>
      </c>
      <c r="B554" s="485" t="s">
        <v>946</v>
      </c>
      <c r="C554" s="476" t="s">
        <v>4060</v>
      </c>
      <c r="D554" s="464"/>
      <c r="E554" s="465" t="s">
        <v>2898</v>
      </c>
      <c r="F554" s="466" t="s">
        <v>2823</v>
      </c>
      <c r="G554" s="464"/>
      <c r="H554" s="477">
        <v>45016</v>
      </c>
      <c r="I554" s="488">
        <f t="shared" si="18"/>
        <v>9611740.5405405406</v>
      </c>
      <c r="J554" s="488">
        <f t="shared" si="19"/>
        <v>1057291.4594594594</v>
      </c>
      <c r="K554" s="474">
        <v>10669032</v>
      </c>
      <c r="L554" s="475"/>
    </row>
    <row r="555" spans="1:12" x14ac:dyDescent="0.2">
      <c r="A555" s="305">
        <v>184</v>
      </c>
      <c r="B555" s="469" t="s">
        <v>947</v>
      </c>
      <c r="C555" s="476" t="s">
        <v>4061</v>
      </c>
      <c r="D555" s="464"/>
      <c r="E555" s="465" t="s">
        <v>3608</v>
      </c>
      <c r="F555" s="466" t="s">
        <v>3609</v>
      </c>
      <c r="G555" s="464"/>
      <c r="H555" s="477">
        <v>44992</v>
      </c>
      <c r="I555" s="473">
        <f t="shared" si="18"/>
        <v>1946317.1171171169</v>
      </c>
      <c r="J555" s="473">
        <f t="shared" si="19"/>
        <v>214094.88288288287</v>
      </c>
      <c r="K555" s="474">
        <f>1092690+817722+250000</f>
        <v>2160412</v>
      </c>
      <c r="L555" s="475"/>
    </row>
    <row r="556" spans="1:12" x14ac:dyDescent="0.2">
      <c r="A556" s="305">
        <v>185</v>
      </c>
      <c r="B556" s="485" t="s">
        <v>948</v>
      </c>
      <c r="C556" s="476" t="s">
        <v>4062</v>
      </c>
      <c r="D556" s="464"/>
      <c r="E556" s="465" t="s">
        <v>3608</v>
      </c>
      <c r="F556" s="466" t="s">
        <v>3609</v>
      </c>
      <c r="G556" s="464"/>
      <c r="H556" s="477">
        <v>44998</v>
      </c>
      <c r="I556" s="488">
        <f t="shared" si="18"/>
        <v>6374248.6486486485</v>
      </c>
      <c r="J556" s="488">
        <f t="shared" si="19"/>
        <v>701167.35135135136</v>
      </c>
      <c r="K556" s="474">
        <f>3024145+677160+522918+1026513+184680+1640000</f>
        <v>7075416</v>
      </c>
      <c r="L556" s="475"/>
    </row>
    <row r="557" spans="1:12" ht="18" x14ac:dyDescent="0.25">
      <c r="B557" s="490" t="s">
        <v>282</v>
      </c>
      <c r="C557" s="491"/>
      <c r="D557" s="492"/>
      <c r="E557" s="493"/>
      <c r="F557" s="494"/>
      <c r="G557" s="514"/>
      <c r="H557" s="495"/>
      <c r="I557" s="496">
        <f>SUM(I372:I556)</f>
        <v>1213558600.9009004</v>
      </c>
      <c r="J557" s="496">
        <f>SUM(J372:J556)</f>
        <v>133491446.09909904</v>
      </c>
      <c r="K557" s="496">
        <f>SUM(K372:K556)</f>
        <v>1347050047</v>
      </c>
      <c r="L557" s="497"/>
    </row>
    <row r="558" spans="1:12" s="352" customFormat="1" ht="20.25" x14ac:dyDescent="0.3">
      <c r="A558" s="305"/>
      <c r="B558" s="498" t="s">
        <v>101</v>
      </c>
      <c r="C558" s="486"/>
      <c r="D558" s="487"/>
      <c r="E558" s="487"/>
      <c r="F558" s="487"/>
      <c r="G558" s="487"/>
      <c r="H558" s="499"/>
      <c r="I558" s="500"/>
      <c r="J558" s="500"/>
      <c r="K558" s="501"/>
      <c r="L558" s="502"/>
    </row>
    <row r="559" spans="1:12" s="520" customFormat="1" x14ac:dyDescent="0.2">
      <c r="A559" s="517">
        <v>1</v>
      </c>
      <c r="B559" s="485" t="s">
        <v>949</v>
      </c>
      <c r="C559" s="486" t="s">
        <v>4422</v>
      </c>
      <c r="D559" s="464" t="s">
        <v>2758</v>
      </c>
      <c r="E559" s="708" t="s">
        <v>2759</v>
      </c>
      <c r="F559" s="466" t="s">
        <v>2755</v>
      </c>
      <c r="G559" s="518" t="s">
        <v>3387</v>
      </c>
      <c r="H559" s="519">
        <v>45021</v>
      </c>
      <c r="I559" s="488">
        <f>K559/1.11</f>
        <v>6059675.6756756753</v>
      </c>
      <c r="J559" s="488">
        <f>I559*11%</f>
        <v>666564.32432432426</v>
      </c>
      <c r="K559" s="489">
        <v>6726240</v>
      </c>
      <c r="L559" s="547"/>
    </row>
    <row r="560" spans="1:12" s="520" customFormat="1" x14ac:dyDescent="0.2">
      <c r="A560" s="517">
        <v>2</v>
      </c>
      <c r="B560" s="469" t="s">
        <v>950</v>
      </c>
      <c r="C560" s="470" t="s">
        <v>4423</v>
      </c>
      <c r="D560" s="464" t="s">
        <v>2758</v>
      </c>
      <c r="E560" s="708" t="s">
        <v>2759</v>
      </c>
      <c r="F560" s="466" t="s">
        <v>2755</v>
      </c>
      <c r="G560" s="518" t="s">
        <v>3388</v>
      </c>
      <c r="H560" s="519">
        <v>45024</v>
      </c>
      <c r="I560" s="473">
        <f>K560/1.11</f>
        <v>17305610.810810808</v>
      </c>
      <c r="J560" s="473">
        <f>I560*11%</f>
        <v>1903617.1891891889</v>
      </c>
      <c r="K560" s="474">
        <v>19209228</v>
      </c>
      <c r="L560" s="475"/>
    </row>
    <row r="561" spans="1:12" s="520" customFormat="1" x14ac:dyDescent="0.2">
      <c r="A561" s="517">
        <v>3</v>
      </c>
      <c r="B561" s="485" t="s">
        <v>951</v>
      </c>
      <c r="C561" s="476" t="s">
        <v>4424</v>
      </c>
      <c r="D561" s="464" t="s">
        <v>2758</v>
      </c>
      <c r="E561" s="708" t="s">
        <v>2759</v>
      </c>
      <c r="F561" s="466" t="s">
        <v>2755</v>
      </c>
      <c r="G561" s="518" t="s">
        <v>3389</v>
      </c>
      <c r="H561" s="519">
        <v>45024</v>
      </c>
      <c r="I561" s="488">
        <f t="shared" ref="I561:I624" si="20">K561/1.11</f>
        <v>4267177.4774774769</v>
      </c>
      <c r="J561" s="488">
        <f t="shared" ref="J561:J624" si="21">I561*11%</f>
        <v>469389.52252252249</v>
      </c>
      <c r="K561" s="474">
        <v>4736567</v>
      </c>
      <c r="L561" s="475"/>
    </row>
    <row r="562" spans="1:12" s="520" customFormat="1" x14ac:dyDescent="0.2">
      <c r="A562" s="517">
        <v>4</v>
      </c>
      <c r="B562" s="469" t="s">
        <v>952</v>
      </c>
      <c r="C562" s="476" t="s">
        <v>4425</v>
      </c>
      <c r="D562" s="464" t="s">
        <v>2783</v>
      </c>
      <c r="E562" s="465" t="s">
        <v>2784</v>
      </c>
      <c r="F562" s="466" t="s">
        <v>2785</v>
      </c>
      <c r="G562" s="518" t="s">
        <v>3764</v>
      </c>
      <c r="H562" s="519">
        <v>45024</v>
      </c>
      <c r="I562" s="473">
        <f t="shared" si="20"/>
        <v>11705986.486486485</v>
      </c>
      <c r="J562" s="473">
        <f t="shared" si="21"/>
        <v>1287658.5135135134</v>
      </c>
      <c r="K562" s="474">
        <v>12993645</v>
      </c>
      <c r="L562" s="475"/>
    </row>
    <row r="563" spans="1:12" s="520" customFormat="1" x14ac:dyDescent="0.2">
      <c r="A563" s="517">
        <v>5</v>
      </c>
      <c r="B563" s="485" t="s">
        <v>953</v>
      </c>
      <c r="C563" s="476" t="s">
        <v>4426</v>
      </c>
      <c r="D563" s="464" t="s">
        <v>2758</v>
      </c>
      <c r="E563" s="708" t="s">
        <v>2759</v>
      </c>
      <c r="F563" s="466" t="s">
        <v>2755</v>
      </c>
      <c r="G563" s="518" t="s">
        <v>3765</v>
      </c>
      <c r="H563" s="519">
        <v>45027</v>
      </c>
      <c r="I563" s="488">
        <f t="shared" si="20"/>
        <v>3441297.297297297</v>
      </c>
      <c r="J563" s="488">
        <f t="shared" si="21"/>
        <v>378542.70270270266</v>
      </c>
      <c r="K563" s="474">
        <v>3819840</v>
      </c>
      <c r="L563" s="475"/>
    </row>
    <row r="564" spans="1:12" s="520" customFormat="1" x14ac:dyDescent="0.2">
      <c r="A564" s="517">
        <v>6</v>
      </c>
      <c r="B564" s="469" t="s">
        <v>954</v>
      </c>
      <c r="C564" s="476" t="s">
        <v>4427</v>
      </c>
      <c r="D564" s="464" t="s">
        <v>2783</v>
      </c>
      <c r="E564" s="465" t="s">
        <v>2784</v>
      </c>
      <c r="F564" s="466" t="s">
        <v>2785</v>
      </c>
      <c r="G564" s="518" t="s">
        <v>3766</v>
      </c>
      <c r="H564" s="519">
        <v>45028</v>
      </c>
      <c r="I564" s="473">
        <f t="shared" si="20"/>
        <v>13102864.864864863</v>
      </c>
      <c r="J564" s="473">
        <f t="shared" si="21"/>
        <v>1441315.1351351349</v>
      </c>
      <c r="K564" s="474">
        <v>14544180</v>
      </c>
      <c r="L564" s="475"/>
    </row>
    <row r="565" spans="1:12" s="520" customFormat="1" x14ac:dyDescent="0.2">
      <c r="A565" s="517">
        <v>7</v>
      </c>
      <c r="B565" s="485" t="s">
        <v>955</v>
      </c>
      <c r="C565" s="476" t="s">
        <v>4428</v>
      </c>
      <c r="D565" s="464" t="s">
        <v>2821</v>
      </c>
      <c r="E565" s="471" t="s">
        <v>2822</v>
      </c>
      <c r="F565" s="471" t="s">
        <v>2823</v>
      </c>
      <c r="G565" s="518" t="s">
        <v>3767</v>
      </c>
      <c r="H565" s="519">
        <v>45028</v>
      </c>
      <c r="I565" s="488">
        <f t="shared" si="20"/>
        <v>17724819.819819819</v>
      </c>
      <c r="J565" s="488">
        <f t="shared" si="21"/>
        <v>1949730.1801801801</v>
      </c>
      <c r="K565" s="474">
        <v>19674550</v>
      </c>
      <c r="L565" s="475"/>
    </row>
    <row r="566" spans="1:12" s="520" customFormat="1" x14ac:dyDescent="0.2">
      <c r="A566" s="517">
        <v>8</v>
      </c>
      <c r="B566" s="469" t="s">
        <v>956</v>
      </c>
      <c r="C566" s="476" t="s">
        <v>4429</v>
      </c>
      <c r="D566" s="464" t="s">
        <v>2758</v>
      </c>
      <c r="E566" s="708" t="s">
        <v>2759</v>
      </c>
      <c r="F566" s="466" t="s">
        <v>2755</v>
      </c>
      <c r="G566" s="518" t="s">
        <v>3768</v>
      </c>
      <c r="H566" s="519">
        <v>45028</v>
      </c>
      <c r="I566" s="473">
        <f t="shared" si="20"/>
        <v>3845275.6756756753</v>
      </c>
      <c r="J566" s="473">
        <f t="shared" si="21"/>
        <v>422980.32432432426</v>
      </c>
      <c r="K566" s="474">
        <v>4268256</v>
      </c>
      <c r="L566" s="475"/>
    </row>
    <row r="567" spans="1:12" s="520" customFormat="1" x14ac:dyDescent="0.2">
      <c r="A567" s="517">
        <v>9</v>
      </c>
      <c r="B567" s="485" t="s">
        <v>957</v>
      </c>
      <c r="C567" s="476" t="s">
        <v>4430</v>
      </c>
      <c r="D567" s="487" t="s">
        <v>2753</v>
      </c>
      <c r="E567" s="503" t="s">
        <v>2754</v>
      </c>
      <c r="F567" s="504" t="s">
        <v>2755</v>
      </c>
      <c r="G567" s="518" t="s">
        <v>3769</v>
      </c>
      <c r="H567" s="519">
        <v>45030</v>
      </c>
      <c r="I567" s="488">
        <f t="shared" si="20"/>
        <v>1621621.6216216215</v>
      </c>
      <c r="J567" s="488">
        <f t="shared" si="21"/>
        <v>178378.37837837837</v>
      </c>
      <c r="K567" s="474">
        <v>1800000</v>
      </c>
      <c r="L567" s="475"/>
    </row>
    <row r="568" spans="1:12" s="520" customFormat="1" ht="14.25" customHeight="1" x14ac:dyDescent="0.2">
      <c r="A568" s="517">
        <v>10</v>
      </c>
      <c r="B568" s="469" t="s">
        <v>958</v>
      </c>
      <c r="C568" s="476" t="s">
        <v>4431</v>
      </c>
      <c r="D568" s="464" t="s">
        <v>2871</v>
      </c>
      <c r="E568" s="465" t="s">
        <v>2872</v>
      </c>
      <c r="F568" s="466" t="s">
        <v>2873</v>
      </c>
      <c r="G568" s="518" t="s">
        <v>3770</v>
      </c>
      <c r="H568" s="519">
        <v>45030</v>
      </c>
      <c r="I568" s="473">
        <f t="shared" si="20"/>
        <v>1373423.4234234232</v>
      </c>
      <c r="J568" s="473">
        <f t="shared" si="21"/>
        <v>151076.57657657654</v>
      </c>
      <c r="K568" s="474">
        <v>1524500</v>
      </c>
      <c r="L568" s="475"/>
    </row>
    <row r="569" spans="1:12" s="520" customFormat="1" ht="14.25" customHeight="1" x14ac:dyDescent="0.2">
      <c r="A569" s="517">
        <v>11</v>
      </c>
      <c r="B569" s="485" t="s">
        <v>959</v>
      </c>
      <c r="C569" s="476" t="s">
        <v>4432</v>
      </c>
      <c r="D569" s="725" t="s">
        <v>3302</v>
      </c>
      <c r="E569" s="708" t="s">
        <v>3303</v>
      </c>
      <c r="F569" s="727" t="s">
        <v>2873</v>
      </c>
      <c r="G569" s="518" t="s">
        <v>3771</v>
      </c>
      <c r="H569" s="519">
        <v>45031</v>
      </c>
      <c r="I569" s="488">
        <f t="shared" si="20"/>
        <v>924324.32432432426</v>
      </c>
      <c r="J569" s="488">
        <f t="shared" si="21"/>
        <v>101675.67567567567</v>
      </c>
      <c r="K569" s="474">
        <v>1026000</v>
      </c>
      <c r="L569" s="475"/>
    </row>
    <row r="570" spans="1:12" s="520" customFormat="1" x14ac:dyDescent="0.2">
      <c r="A570" s="517">
        <v>12</v>
      </c>
      <c r="B570" s="469" t="s">
        <v>960</v>
      </c>
      <c r="C570" s="476" t="s">
        <v>4433</v>
      </c>
      <c r="D570" s="487" t="s">
        <v>2790</v>
      </c>
      <c r="E570" s="503" t="s">
        <v>2791</v>
      </c>
      <c r="F570" s="504" t="s">
        <v>2792</v>
      </c>
      <c r="G570" s="518" t="s">
        <v>3772</v>
      </c>
      <c r="H570" s="519">
        <v>45026</v>
      </c>
      <c r="I570" s="473">
        <f t="shared" si="20"/>
        <v>343999.99999999994</v>
      </c>
      <c r="J570" s="473">
        <f t="shared" si="21"/>
        <v>37839.999999999993</v>
      </c>
      <c r="K570" s="474">
        <v>381840</v>
      </c>
      <c r="L570" s="475"/>
    </row>
    <row r="571" spans="1:12" s="520" customFormat="1" ht="14.25" customHeight="1" x14ac:dyDescent="0.2">
      <c r="A571" s="517">
        <v>13</v>
      </c>
      <c r="B571" s="485" t="s">
        <v>961</v>
      </c>
      <c r="C571" s="476" t="s">
        <v>4434</v>
      </c>
      <c r="D571" s="487" t="s">
        <v>2790</v>
      </c>
      <c r="E571" s="503" t="s">
        <v>2791</v>
      </c>
      <c r="F571" s="504" t="s">
        <v>2792</v>
      </c>
      <c r="G571" s="518" t="s">
        <v>3773</v>
      </c>
      <c r="H571" s="519">
        <v>45026</v>
      </c>
      <c r="I571" s="488">
        <f t="shared" si="20"/>
        <v>171999.99999999997</v>
      </c>
      <c r="J571" s="488">
        <f t="shared" si="21"/>
        <v>18919.999999999996</v>
      </c>
      <c r="K571" s="474">
        <v>190920</v>
      </c>
      <c r="L571" s="475"/>
    </row>
    <row r="572" spans="1:12" s="520" customFormat="1" ht="14.25" customHeight="1" x14ac:dyDescent="0.2">
      <c r="A572" s="517">
        <v>14</v>
      </c>
      <c r="B572" s="469" t="s">
        <v>962</v>
      </c>
      <c r="C572" s="476" t="s">
        <v>4286</v>
      </c>
      <c r="D572" s="464"/>
      <c r="E572" s="465" t="s">
        <v>3011</v>
      </c>
      <c r="F572" s="466" t="s">
        <v>2823</v>
      </c>
      <c r="G572" s="749"/>
      <c r="H572" s="519">
        <v>45022</v>
      </c>
      <c r="I572" s="473">
        <f t="shared" si="20"/>
        <v>10443786.486486485</v>
      </c>
      <c r="J572" s="473">
        <f t="shared" si="21"/>
        <v>1148816.5135135134</v>
      </c>
      <c r="K572" s="474">
        <f>2677860+8914743</f>
        <v>11592603</v>
      </c>
      <c r="L572" s="475"/>
    </row>
    <row r="573" spans="1:12" s="520" customFormat="1" x14ac:dyDescent="0.2">
      <c r="A573" s="517">
        <v>15</v>
      </c>
      <c r="B573" s="485" t="s">
        <v>963</v>
      </c>
      <c r="C573" s="476" t="s">
        <v>4284</v>
      </c>
      <c r="D573" s="464"/>
      <c r="E573" s="471" t="s">
        <v>2900</v>
      </c>
      <c r="F573" s="471" t="s">
        <v>2823</v>
      </c>
      <c r="G573" s="749"/>
      <c r="H573" s="519">
        <v>45022</v>
      </c>
      <c r="I573" s="488">
        <f t="shared" si="20"/>
        <v>62426772.972972967</v>
      </c>
      <c r="J573" s="488">
        <f t="shared" si="21"/>
        <v>6866945.0270270268</v>
      </c>
      <c r="K573" s="474">
        <f>34700076+18585990+16007652</f>
        <v>69293718</v>
      </c>
      <c r="L573" s="475"/>
    </row>
    <row r="574" spans="1:12" s="520" customFormat="1" x14ac:dyDescent="0.2">
      <c r="A574" s="517">
        <v>16</v>
      </c>
      <c r="B574" s="469" t="s">
        <v>964</v>
      </c>
      <c r="C574" s="476" t="s">
        <v>4280</v>
      </c>
      <c r="D574" s="464"/>
      <c r="E574" s="465" t="s">
        <v>2937</v>
      </c>
      <c r="F574" s="466" t="s">
        <v>2823</v>
      </c>
      <c r="G574" s="749"/>
      <c r="H574" s="519">
        <v>45021</v>
      </c>
      <c r="I574" s="473">
        <f t="shared" si="20"/>
        <v>18868232.432432432</v>
      </c>
      <c r="J574" s="473">
        <f t="shared" si="21"/>
        <v>2075505.5675675676</v>
      </c>
      <c r="K574" s="474">
        <f>13838688+5525010+1580040</f>
        <v>20943738</v>
      </c>
      <c r="L574" s="475"/>
    </row>
    <row r="575" spans="1:12" s="520" customFormat="1" x14ac:dyDescent="0.2">
      <c r="A575" s="517">
        <v>17</v>
      </c>
      <c r="B575" s="485" t="s">
        <v>965</v>
      </c>
      <c r="C575" s="476" t="s">
        <v>4278</v>
      </c>
      <c r="D575" s="487"/>
      <c r="E575" s="503" t="s">
        <v>2904</v>
      </c>
      <c r="F575" s="504" t="s">
        <v>2905</v>
      </c>
      <c r="G575" s="749"/>
      <c r="H575" s="519">
        <v>45020</v>
      </c>
      <c r="I575" s="488">
        <f t="shared" si="20"/>
        <v>2849099.0990990987</v>
      </c>
      <c r="J575" s="488">
        <f t="shared" si="21"/>
        <v>313400.90090090089</v>
      </c>
      <c r="K575" s="474">
        <f>262500+2900000</f>
        <v>3162500</v>
      </c>
      <c r="L575" s="475"/>
    </row>
    <row r="576" spans="1:12" s="520" customFormat="1" x14ac:dyDescent="0.2">
      <c r="A576" s="517">
        <v>18</v>
      </c>
      <c r="B576" s="469" t="s">
        <v>966</v>
      </c>
      <c r="C576" s="476" t="s">
        <v>4279</v>
      </c>
      <c r="D576" s="464"/>
      <c r="E576" s="465" t="s">
        <v>2898</v>
      </c>
      <c r="F576" s="466" t="s">
        <v>2823</v>
      </c>
      <c r="G576" s="749"/>
      <c r="H576" s="519">
        <v>45021</v>
      </c>
      <c r="I576" s="473">
        <f t="shared" si="20"/>
        <v>52837321.621621616</v>
      </c>
      <c r="J576" s="473">
        <f t="shared" si="21"/>
        <v>5812105.3783783782</v>
      </c>
      <c r="K576" s="474">
        <f>13933251+4284576+40431600</f>
        <v>58649427</v>
      </c>
      <c r="L576" s="475"/>
    </row>
    <row r="577" spans="1:12" s="520" customFormat="1" x14ac:dyDescent="0.2">
      <c r="A577" s="517">
        <v>19</v>
      </c>
      <c r="B577" s="485" t="s">
        <v>967</v>
      </c>
      <c r="C577" s="476" t="s">
        <v>4282</v>
      </c>
      <c r="D577" s="464"/>
      <c r="E577" s="465" t="s">
        <v>2933</v>
      </c>
      <c r="F577" s="466" t="s">
        <v>2823</v>
      </c>
      <c r="G577" s="749"/>
      <c r="H577" s="477">
        <v>45024</v>
      </c>
      <c r="I577" s="488">
        <f t="shared" si="20"/>
        <v>28293567.567567565</v>
      </c>
      <c r="J577" s="488">
        <f t="shared" si="21"/>
        <v>3112292.4324324322</v>
      </c>
      <c r="K577" s="474">
        <f>4540050+26865810</f>
        <v>31405860</v>
      </c>
      <c r="L577" s="475"/>
    </row>
    <row r="578" spans="1:12" s="520" customFormat="1" x14ac:dyDescent="0.2">
      <c r="A578" s="517">
        <v>20</v>
      </c>
      <c r="B578" s="469" t="s">
        <v>968</v>
      </c>
      <c r="C578" s="476" t="s">
        <v>4283</v>
      </c>
      <c r="D578" s="487"/>
      <c r="E578" s="503" t="s">
        <v>3043</v>
      </c>
      <c r="F578" s="504" t="s">
        <v>3044</v>
      </c>
      <c r="G578" s="749"/>
      <c r="H578" s="477">
        <v>45024</v>
      </c>
      <c r="I578" s="473">
        <f t="shared" si="20"/>
        <v>33190175.675675672</v>
      </c>
      <c r="J578" s="473">
        <f t="shared" si="21"/>
        <v>3650919.3243243238</v>
      </c>
      <c r="K578" s="474">
        <f>4432320+32408775</f>
        <v>36841095</v>
      </c>
      <c r="L578" s="475"/>
    </row>
    <row r="579" spans="1:12" s="520" customFormat="1" x14ac:dyDescent="0.2">
      <c r="A579" s="517">
        <v>21</v>
      </c>
      <c r="B579" s="485" t="s">
        <v>969</v>
      </c>
      <c r="C579" s="476" t="s">
        <v>4281</v>
      </c>
      <c r="D579" s="487"/>
      <c r="E579" s="503" t="s">
        <v>2898</v>
      </c>
      <c r="F579" s="504" t="s">
        <v>2823</v>
      </c>
      <c r="G579" s="749"/>
      <c r="H579" s="477">
        <v>45028</v>
      </c>
      <c r="I579" s="488">
        <f t="shared" si="20"/>
        <v>19589882.882882882</v>
      </c>
      <c r="J579" s="488">
        <f t="shared" si="21"/>
        <v>2154887.1171171172</v>
      </c>
      <c r="K579" s="474">
        <v>21744770</v>
      </c>
      <c r="L579" s="475"/>
    </row>
    <row r="580" spans="1:12" s="520" customFormat="1" x14ac:dyDescent="0.2">
      <c r="A580" s="517">
        <v>22</v>
      </c>
      <c r="B580" s="469" t="s">
        <v>970</v>
      </c>
      <c r="C580" s="476" t="s">
        <v>4287</v>
      </c>
      <c r="D580" s="464"/>
      <c r="E580" s="471" t="s">
        <v>2937</v>
      </c>
      <c r="F580" s="471" t="s">
        <v>2823</v>
      </c>
      <c r="G580" s="749"/>
      <c r="H580" s="477">
        <v>45028</v>
      </c>
      <c r="I580" s="473">
        <f t="shared" si="20"/>
        <v>26689864.864864863</v>
      </c>
      <c r="J580" s="473">
        <f t="shared" si="21"/>
        <v>2935885.1351351351</v>
      </c>
      <c r="K580" s="474">
        <f>26599050+3026700</f>
        <v>29625750</v>
      </c>
      <c r="L580" s="475"/>
    </row>
    <row r="581" spans="1:12" s="520" customFormat="1" x14ac:dyDescent="0.2">
      <c r="A581" s="517">
        <v>23</v>
      </c>
      <c r="B581" s="485" t="s">
        <v>971</v>
      </c>
      <c r="C581" s="476" t="s">
        <v>4292</v>
      </c>
      <c r="D581" s="487"/>
      <c r="E581" s="503" t="s">
        <v>3085</v>
      </c>
      <c r="F581" s="504" t="s">
        <v>2982</v>
      </c>
      <c r="G581" s="749"/>
      <c r="H581" s="477">
        <v>45024</v>
      </c>
      <c r="I581" s="488">
        <f t="shared" si="20"/>
        <v>7883945.9459459456</v>
      </c>
      <c r="J581" s="488">
        <f t="shared" si="21"/>
        <v>867234.05405405397</v>
      </c>
      <c r="K581" s="474">
        <f>6010680+2740500</f>
        <v>8751180</v>
      </c>
      <c r="L581" s="475"/>
    </row>
    <row r="582" spans="1:12" s="520" customFormat="1" x14ac:dyDescent="0.2">
      <c r="A582" s="517">
        <v>24</v>
      </c>
      <c r="B582" s="469" t="s">
        <v>972</v>
      </c>
      <c r="C582" s="476" t="s">
        <v>4285</v>
      </c>
      <c r="D582" s="464"/>
      <c r="E582" s="471" t="s">
        <v>2947</v>
      </c>
      <c r="F582" s="471" t="s">
        <v>2823</v>
      </c>
      <c r="G582" s="749"/>
      <c r="H582" s="477">
        <v>45028</v>
      </c>
      <c r="I582" s="473">
        <f t="shared" si="20"/>
        <v>2639870.2702702698</v>
      </c>
      <c r="J582" s="473">
        <f t="shared" si="21"/>
        <v>290385.7297297297</v>
      </c>
      <c r="K582" s="474">
        <v>2930256</v>
      </c>
      <c r="L582" s="475"/>
    </row>
    <row r="583" spans="1:12" s="520" customFormat="1" x14ac:dyDescent="0.2">
      <c r="A583" s="517">
        <v>25</v>
      </c>
      <c r="B583" s="485" t="s">
        <v>973</v>
      </c>
      <c r="C583" s="476" t="s">
        <v>4288</v>
      </c>
      <c r="D583" s="487"/>
      <c r="E583" s="503" t="s">
        <v>3138</v>
      </c>
      <c r="F583" s="504" t="s">
        <v>3077</v>
      </c>
      <c r="G583" s="749"/>
      <c r="H583" s="477">
        <v>45021</v>
      </c>
      <c r="I583" s="488">
        <f t="shared" si="20"/>
        <v>1427027.027027027</v>
      </c>
      <c r="J583" s="488">
        <f t="shared" si="21"/>
        <v>156972.97297297296</v>
      </c>
      <c r="K583" s="474">
        <v>1584000</v>
      </c>
      <c r="L583" s="475"/>
    </row>
    <row r="584" spans="1:12" s="521" customFormat="1" x14ac:dyDescent="0.2">
      <c r="A584" s="517">
        <v>26</v>
      </c>
      <c r="B584" s="469" t="s">
        <v>974</v>
      </c>
      <c r="C584" s="476" t="s">
        <v>4376</v>
      </c>
      <c r="D584" s="464"/>
      <c r="E584" s="465" t="s">
        <v>2887</v>
      </c>
      <c r="F584" s="466" t="s">
        <v>2888</v>
      </c>
      <c r="G584" s="466"/>
      <c r="H584" s="477">
        <v>45022</v>
      </c>
      <c r="I584" s="473">
        <f t="shared" si="20"/>
        <v>8088762.1621621614</v>
      </c>
      <c r="J584" s="473">
        <f t="shared" si="21"/>
        <v>889763.83783783775</v>
      </c>
      <c r="K584" s="474">
        <f>6251418+2727108</f>
        <v>8978526</v>
      </c>
      <c r="L584" s="475"/>
    </row>
    <row r="585" spans="1:12" s="521" customFormat="1" x14ac:dyDescent="0.2">
      <c r="A585" s="517">
        <v>27</v>
      </c>
      <c r="B585" s="485" t="s">
        <v>975</v>
      </c>
      <c r="C585" s="476" t="s">
        <v>4311</v>
      </c>
      <c r="D585" s="464"/>
      <c r="E585" s="465" t="s">
        <v>2907</v>
      </c>
      <c r="F585" s="466" t="s">
        <v>2858</v>
      </c>
      <c r="G585" s="466"/>
      <c r="H585" s="477">
        <v>45022</v>
      </c>
      <c r="I585" s="488">
        <f t="shared" si="20"/>
        <v>18586621.62162162</v>
      </c>
      <c r="J585" s="488">
        <f t="shared" si="21"/>
        <v>2044528.3783783782</v>
      </c>
      <c r="K585" s="474">
        <f>15829470+4801680</f>
        <v>20631150</v>
      </c>
      <c r="L585" s="475"/>
    </row>
    <row r="586" spans="1:12" s="521" customFormat="1" x14ac:dyDescent="0.2">
      <c r="A586" s="517">
        <v>28</v>
      </c>
      <c r="B586" s="469" t="s">
        <v>976</v>
      </c>
      <c r="C586" s="476" t="s">
        <v>4362</v>
      </c>
      <c r="D586" s="464"/>
      <c r="E586" s="471" t="s">
        <v>2891</v>
      </c>
      <c r="F586" s="471" t="s">
        <v>2873</v>
      </c>
      <c r="G586" s="466"/>
      <c r="H586" s="477">
        <v>45024</v>
      </c>
      <c r="I586" s="473">
        <f t="shared" si="20"/>
        <v>3032399.9999999995</v>
      </c>
      <c r="J586" s="473">
        <f t="shared" si="21"/>
        <v>333563.99999999994</v>
      </c>
      <c r="K586" s="474">
        <f>1069092+2296872</f>
        <v>3365964</v>
      </c>
      <c r="L586" s="475"/>
    </row>
    <row r="587" spans="1:12" s="521" customFormat="1" x14ac:dyDescent="0.2">
      <c r="A587" s="517">
        <v>29</v>
      </c>
      <c r="B587" s="485" t="s">
        <v>977</v>
      </c>
      <c r="C587" s="476" t="s">
        <v>4289</v>
      </c>
      <c r="D587" s="487"/>
      <c r="E587" s="503" t="s">
        <v>2970</v>
      </c>
      <c r="F587" s="504" t="s">
        <v>2946</v>
      </c>
      <c r="G587" s="466"/>
      <c r="H587" s="477">
        <v>45022</v>
      </c>
      <c r="I587" s="488">
        <f t="shared" si="20"/>
        <v>1076375.6756756755</v>
      </c>
      <c r="J587" s="488">
        <f t="shared" si="21"/>
        <v>118401.32432432431</v>
      </c>
      <c r="K587" s="474">
        <v>1194777</v>
      </c>
      <c r="L587" s="475"/>
    </row>
    <row r="588" spans="1:12" s="521" customFormat="1" x14ac:dyDescent="0.2">
      <c r="A588" s="517">
        <v>30</v>
      </c>
      <c r="B588" s="469" t="s">
        <v>978</v>
      </c>
      <c r="C588" s="476" t="s">
        <v>4375</v>
      </c>
      <c r="D588" s="464"/>
      <c r="E588" s="465" t="s">
        <v>2907</v>
      </c>
      <c r="F588" s="466" t="s">
        <v>2908</v>
      </c>
      <c r="G588" s="466"/>
      <c r="H588" s="477">
        <v>45021</v>
      </c>
      <c r="I588" s="473">
        <f t="shared" si="20"/>
        <v>10551535.135135135</v>
      </c>
      <c r="J588" s="473">
        <f t="shared" si="21"/>
        <v>1160668.8648648649</v>
      </c>
      <c r="K588" s="474">
        <f>3975000+1214100+6523104</f>
        <v>11712204</v>
      </c>
      <c r="L588" s="475"/>
    </row>
    <row r="589" spans="1:12" s="521" customFormat="1" x14ac:dyDescent="0.2">
      <c r="A589" s="517">
        <v>31</v>
      </c>
      <c r="B589" s="485" t="s">
        <v>979</v>
      </c>
      <c r="C589" s="476" t="s">
        <v>4290</v>
      </c>
      <c r="D589" s="464"/>
      <c r="E589" s="465" t="s">
        <v>3541</v>
      </c>
      <c r="F589" s="466" t="s">
        <v>2982</v>
      </c>
      <c r="G589" s="466"/>
      <c r="H589" s="477">
        <v>45022</v>
      </c>
      <c r="I589" s="488">
        <f t="shared" si="20"/>
        <v>353091.89189189184</v>
      </c>
      <c r="J589" s="488">
        <f t="shared" si="21"/>
        <v>38840.108108108099</v>
      </c>
      <c r="K589" s="474">
        <v>391932</v>
      </c>
      <c r="L589" s="475"/>
    </row>
    <row r="590" spans="1:12" s="521" customFormat="1" x14ac:dyDescent="0.2">
      <c r="A590" s="517">
        <v>32</v>
      </c>
      <c r="B590" s="469" t="s">
        <v>980</v>
      </c>
      <c r="C590" s="476" t="s">
        <v>4291</v>
      </c>
      <c r="D590" s="464"/>
      <c r="E590" s="471" t="s">
        <v>3080</v>
      </c>
      <c r="F590" s="471" t="s">
        <v>2982</v>
      </c>
      <c r="G590" s="466"/>
      <c r="H590" s="477">
        <v>45024</v>
      </c>
      <c r="I590" s="473">
        <f t="shared" si="20"/>
        <v>644594.59459459456</v>
      </c>
      <c r="J590" s="473">
        <f t="shared" si="21"/>
        <v>70905.4054054054</v>
      </c>
      <c r="K590" s="474">
        <v>715500</v>
      </c>
      <c r="L590" s="475"/>
    </row>
    <row r="591" spans="1:12" s="521" customFormat="1" x14ac:dyDescent="0.2">
      <c r="A591" s="517">
        <v>33</v>
      </c>
      <c r="B591" s="485" t="s">
        <v>981</v>
      </c>
      <c r="C591" s="476" t="s">
        <v>4293</v>
      </c>
      <c r="D591" s="464"/>
      <c r="E591" s="465" t="s">
        <v>4294</v>
      </c>
      <c r="F591" s="466" t="s">
        <v>2946</v>
      </c>
      <c r="G591" s="466"/>
      <c r="H591" s="477">
        <v>45024</v>
      </c>
      <c r="I591" s="488">
        <f t="shared" si="20"/>
        <v>270270.27027027024</v>
      </c>
      <c r="J591" s="488">
        <f t="shared" si="21"/>
        <v>29729.729729729726</v>
      </c>
      <c r="K591" s="474">
        <v>300000</v>
      </c>
      <c r="L591" s="478"/>
    </row>
    <row r="592" spans="1:12" s="521" customFormat="1" x14ac:dyDescent="0.2">
      <c r="A592" s="517">
        <v>34</v>
      </c>
      <c r="B592" s="469" t="s">
        <v>982</v>
      </c>
      <c r="C592" s="476" t="s">
        <v>4368</v>
      </c>
      <c r="D592" s="464"/>
      <c r="E592" s="465" t="s">
        <v>2894</v>
      </c>
      <c r="F592" s="466" t="s">
        <v>2851</v>
      </c>
      <c r="G592" s="466"/>
      <c r="H592" s="477">
        <v>45020</v>
      </c>
      <c r="I592" s="473">
        <f t="shared" si="20"/>
        <v>14219805.405405404</v>
      </c>
      <c r="J592" s="473">
        <f t="shared" si="21"/>
        <v>1564178.5945945946</v>
      </c>
      <c r="K592" s="474">
        <f>6722352+5848200+3213432</f>
        <v>15783984</v>
      </c>
      <c r="L592" s="475"/>
    </row>
    <row r="593" spans="1:12" s="521" customFormat="1" x14ac:dyDescent="0.2">
      <c r="A593" s="517">
        <v>35</v>
      </c>
      <c r="B593" s="485" t="s">
        <v>983</v>
      </c>
      <c r="C593" s="476" t="s">
        <v>4361</v>
      </c>
      <c r="D593" s="464"/>
      <c r="E593" s="471" t="s">
        <v>2996</v>
      </c>
      <c r="F593" s="471" t="s">
        <v>2785</v>
      </c>
      <c r="G593" s="466"/>
      <c r="H593" s="477">
        <v>45024</v>
      </c>
      <c r="I593" s="488">
        <f t="shared" si="20"/>
        <v>15690590.090090089</v>
      </c>
      <c r="J593" s="488">
        <f t="shared" si="21"/>
        <v>1725964.9099099098</v>
      </c>
      <c r="K593" s="474">
        <f>10380247+7036308</f>
        <v>17416555</v>
      </c>
      <c r="L593" s="475"/>
    </row>
    <row r="594" spans="1:12" s="521" customFormat="1" x14ac:dyDescent="0.2">
      <c r="A594" s="517">
        <v>36</v>
      </c>
      <c r="B594" s="469" t="s">
        <v>984</v>
      </c>
      <c r="C594" s="476" t="s">
        <v>4295</v>
      </c>
      <c r="D594" s="464"/>
      <c r="E594" s="465" t="s">
        <v>2945</v>
      </c>
      <c r="F594" s="466" t="s">
        <v>2946</v>
      </c>
      <c r="G594" s="466"/>
      <c r="H594" s="477">
        <v>45045</v>
      </c>
      <c r="I594" s="473">
        <f t="shared" si="20"/>
        <v>556135.13513513503</v>
      </c>
      <c r="J594" s="473">
        <f t="shared" si="21"/>
        <v>61174.864864864852</v>
      </c>
      <c r="K594" s="474">
        <v>617310</v>
      </c>
      <c r="L594" s="475"/>
    </row>
    <row r="595" spans="1:12" s="521" customFormat="1" x14ac:dyDescent="0.2">
      <c r="A595" s="517">
        <v>37</v>
      </c>
      <c r="B595" s="485" t="s">
        <v>985</v>
      </c>
      <c r="C595" s="476" t="s">
        <v>4378</v>
      </c>
      <c r="D595" s="464"/>
      <c r="E595" s="465" t="s">
        <v>2881</v>
      </c>
      <c r="F595" s="466" t="s">
        <v>2808</v>
      </c>
      <c r="G595" s="466"/>
      <c r="H595" s="477">
        <v>45024</v>
      </c>
      <c r="I595" s="488">
        <f t="shared" si="20"/>
        <v>19447681.981981982</v>
      </c>
      <c r="J595" s="488">
        <f t="shared" si="21"/>
        <v>2139245.018018018</v>
      </c>
      <c r="K595" s="474">
        <f>5211967+11357820+5017140</f>
        <v>21586927</v>
      </c>
      <c r="L595" s="475"/>
    </row>
    <row r="596" spans="1:12" s="521" customFormat="1" x14ac:dyDescent="0.2">
      <c r="A596" s="517">
        <v>38</v>
      </c>
      <c r="B596" s="469" t="s">
        <v>986</v>
      </c>
      <c r="C596" s="476" t="s">
        <v>4296</v>
      </c>
      <c r="D596" s="464"/>
      <c r="E596" s="471" t="s">
        <v>3051</v>
      </c>
      <c r="F596" s="471" t="s">
        <v>2912</v>
      </c>
      <c r="G596" s="466"/>
      <c r="H596" s="477">
        <v>45028</v>
      </c>
      <c r="I596" s="473">
        <f t="shared" si="20"/>
        <v>777972.9729729729</v>
      </c>
      <c r="J596" s="473">
        <f t="shared" si="21"/>
        <v>85577.027027027027</v>
      </c>
      <c r="K596" s="474">
        <v>863550</v>
      </c>
      <c r="L596" s="475"/>
    </row>
    <row r="597" spans="1:12" s="521" customFormat="1" x14ac:dyDescent="0.2">
      <c r="A597" s="517">
        <v>39</v>
      </c>
      <c r="B597" s="485" t="s">
        <v>987</v>
      </c>
      <c r="C597" s="476" t="s">
        <v>4297</v>
      </c>
      <c r="D597" s="464"/>
      <c r="E597" s="465" t="s">
        <v>4298</v>
      </c>
      <c r="F597" s="466" t="s">
        <v>3025</v>
      </c>
      <c r="G597" s="466"/>
      <c r="H597" s="477">
        <v>45028</v>
      </c>
      <c r="I597" s="488">
        <f t="shared" si="20"/>
        <v>431531.53153153148</v>
      </c>
      <c r="J597" s="488">
        <f t="shared" si="21"/>
        <v>47468.468468468462</v>
      </c>
      <c r="K597" s="474">
        <v>479000</v>
      </c>
      <c r="L597" s="475"/>
    </row>
    <row r="598" spans="1:12" s="521" customFormat="1" x14ac:dyDescent="0.2">
      <c r="A598" s="517">
        <v>40</v>
      </c>
      <c r="B598" s="469" t="s">
        <v>988</v>
      </c>
      <c r="C598" s="476" t="s">
        <v>4359</v>
      </c>
      <c r="D598" s="487"/>
      <c r="E598" s="503" t="s">
        <v>2934</v>
      </c>
      <c r="F598" s="504" t="s">
        <v>2935</v>
      </c>
      <c r="G598" s="466"/>
      <c r="H598" s="477">
        <v>45024</v>
      </c>
      <c r="I598" s="473">
        <f t="shared" si="20"/>
        <v>9986464.8648648635</v>
      </c>
      <c r="J598" s="473">
        <f t="shared" si="21"/>
        <v>1098511.1351351349</v>
      </c>
      <c r="K598" s="474">
        <f>6845031+252396+3987549</f>
        <v>11084976</v>
      </c>
      <c r="L598" s="475"/>
    </row>
    <row r="599" spans="1:12" s="521" customFormat="1" x14ac:dyDescent="0.2">
      <c r="A599" s="517">
        <v>41</v>
      </c>
      <c r="B599" s="485" t="s">
        <v>989</v>
      </c>
      <c r="C599" s="476" t="s">
        <v>4299</v>
      </c>
      <c r="D599" s="464"/>
      <c r="E599" s="471" t="s">
        <v>3915</v>
      </c>
      <c r="F599" s="471" t="s">
        <v>2912</v>
      </c>
      <c r="G599" s="466"/>
      <c r="H599" s="477">
        <v>45030</v>
      </c>
      <c r="I599" s="488">
        <f t="shared" si="20"/>
        <v>74870.270270270266</v>
      </c>
      <c r="J599" s="488">
        <f t="shared" si="21"/>
        <v>8235.72972972973</v>
      </c>
      <c r="K599" s="474">
        <v>83106</v>
      </c>
      <c r="L599" s="475"/>
    </row>
    <row r="600" spans="1:12" s="521" customFormat="1" x14ac:dyDescent="0.2">
      <c r="A600" s="517">
        <v>42</v>
      </c>
      <c r="B600" s="469" t="s">
        <v>990</v>
      </c>
      <c r="C600" s="476" t="s">
        <v>4302</v>
      </c>
      <c r="D600" s="464"/>
      <c r="E600" s="465" t="s">
        <v>3533</v>
      </c>
      <c r="F600" s="466" t="s">
        <v>2922</v>
      </c>
      <c r="G600" s="466"/>
      <c r="H600" s="477">
        <v>45033</v>
      </c>
      <c r="I600" s="473">
        <f t="shared" si="20"/>
        <v>2018724.3243243243</v>
      </c>
      <c r="J600" s="473">
        <f t="shared" si="21"/>
        <v>222059.67567567568</v>
      </c>
      <c r="K600" s="474">
        <v>2240784</v>
      </c>
      <c r="L600" s="475"/>
    </row>
    <row r="601" spans="1:12" s="521" customFormat="1" x14ac:dyDescent="0.2">
      <c r="A601" s="517">
        <v>43</v>
      </c>
      <c r="B601" s="485" t="s">
        <v>991</v>
      </c>
      <c r="C601" s="476" t="s">
        <v>4310</v>
      </c>
      <c r="D601" s="464"/>
      <c r="E601" s="465" t="s">
        <v>2893</v>
      </c>
      <c r="F601" s="466" t="s">
        <v>2890</v>
      </c>
      <c r="G601" s="466"/>
      <c r="H601" s="477">
        <v>45020</v>
      </c>
      <c r="I601" s="488">
        <f t="shared" si="20"/>
        <v>10705733.333333332</v>
      </c>
      <c r="J601" s="488">
        <f t="shared" si="21"/>
        <v>1177630.6666666665</v>
      </c>
      <c r="K601" s="474">
        <f>3478140+5347744+3057480</f>
        <v>11883364</v>
      </c>
      <c r="L601" s="475"/>
    </row>
    <row r="602" spans="1:12" x14ac:dyDescent="0.2">
      <c r="A602" s="305">
        <v>44</v>
      </c>
      <c r="B602" s="469" t="s">
        <v>992</v>
      </c>
      <c r="C602" s="476" t="s">
        <v>4304</v>
      </c>
      <c r="D602" s="464"/>
      <c r="E602" s="465" t="s">
        <v>3129</v>
      </c>
      <c r="F602" s="466" t="s">
        <v>3108</v>
      </c>
      <c r="G602" s="750"/>
      <c r="H602" s="477">
        <v>45020</v>
      </c>
      <c r="I602" s="473">
        <f t="shared" si="20"/>
        <v>4115091.8918918916</v>
      </c>
      <c r="J602" s="473">
        <f t="shared" si="21"/>
        <v>452660.10810810811</v>
      </c>
      <c r="K602" s="474">
        <f>2548584+2019168</f>
        <v>4567752</v>
      </c>
      <c r="L602" s="475"/>
    </row>
    <row r="603" spans="1:12" x14ac:dyDescent="0.2">
      <c r="A603" s="305">
        <v>45</v>
      </c>
      <c r="B603" s="485" t="s">
        <v>993</v>
      </c>
      <c r="C603" s="476" t="s">
        <v>4313</v>
      </c>
      <c r="D603" s="464"/>
      <c r="E603" s="465" t="s">
        <v>3461</v>
      </c>
      <c r="F603" s="466" t="s">
        <v>2890</v>
      </c>
      <c r="G603" s="750"/>
      <c r="H603" s="477">
        <v>45020</v>
      </c>
      <c r="I603" s="488">
        <f t="shared" si="20"/>
        <v>7231913.5135135129</v>
      </c>
      <c r="J603" s="488">
        <f t="shared" si="21"/>
        <v>795510.48648648639</v>
      </c>
      <c r="K603" s="474">
        <f>2856384+2856384+2314656</f>
        <v>8027424</v>
      </c>
      <c r="L603" s="475"/>
    </row>
    <row r="604" spans="1:12" x14ac:dyDescent="0.2">
      <c r="A604" s="305">
        <v>46</v>
      </c>
      <c r="B604" s="469" t="s">
        <v>994</v>
      </c>
      <c r="C604" s="476" t="s">
        <v>4314</v>
      </c>
      <c r="D604" s="464"/>
      <c r="E604" s="465" t="s">
        <v>2907</v>
      </c>
      <c r="F604" s="466" t="s">
        <v>2926</v>
      </c>
      <c r="G604" s="750"/>
      <c r="H604" s="477">
        <v>45020</v>
      </c>
      <c r="I604" s="473">
        <f t="shared" si="20"/>
        <v>16049335.135135133</v>
      </c>
      <c r="J604" s="473">
        <f t="shared" si="21"/>
        <v>1765426.8648648646</v>
      </c>
      <c r="K604" s="474">
        <f>2659392+3324240+11831130</f>
        <v>17814762</v>
      </c>
      <c r="L604" s="475"/>
    </row>
    <row r="605" spans="1:12" x14ac:dyDescent="0.2">
      <c r="A605" s="305">
        <v>47</v>
      </c>
      <c r="B605" s="485" t="s">
        <v>995</v>
      </c>
      <c r="C605" s="476" t="s">
        <v>4315</v>
      </c>
      <c r="D605" s="464"/>
      <c r="E605" s="465" t="s">
        <v>3164</v>
      </c>
      <c r="F605" s="466" t="s">
        <v>2928</v>
      </c>
      <c r="G605" s="750"/>
      <c r="H605" s="477">
        <v>45020</v>
      </c>
      <c r="I605" s="488">
        <f t="shared" si="20"/>
        <v>10187461.26126126</v>
      </c>
      <c r="J605" s="488">
        <f t="shared" si="21"/>
        <v>1120620.7387387387</v>
      </c>
      <c r="K605" s="474">
        <f>5773302+1400000+4134780</f>
        <v>11308082</v>
      </c>
      <c r="L605" s="475"/>
    </row>
    <row r="606" spans="1:12" x14ac:dyDescent="0.2">
      <c r="A606" s="305">
        <v>48</v>
      </c>
      <c r="B606" s="469" t="s">
        <v>996</v>
      </c>
      <c r="C606" s="476" t="s">
        <v>4309</v>
      </c>
      <c r="D606" s="464"/>
      <c r="E606" s="465" t="s">
        <v>3538</v>
      </c>
      <c r="F606" s="466" t="s">
        <v>2890</v>
      </c>
      <c r="G606" s="750"/>
      <c r="H606" s="477">
        <v>45020</v>
      </c>
      <c r="I606" s="473">
        <f t="shared" si="20"/>
        <v>4133578.3783783782</v>
      </c>
      <c r="J606" s="473">
        <f t="shared" si="21"/>
        <v>454693.6216216216</v>
      </c>
      <c r="K606" s="474">
        <f>2659392+1928880</f>
        <v>4588272</v>
      </c>
      <c r="L606" s="475"/>
    </row>
    <row r="607" spans="1:12" x14ac:dyDescent="0.2">
      <c r="A607" s="305">
        <v>49</v>
      </c>
      <c r="B607" s="485" t="s">
        <v>997</v>
      </c>
      <c r="C607" s="476" t="s">
        <v>4303</v>
      </c>
      <c r="D607" s="464"/>
      <c r="E607" s="465" t="s">
        <v>2883</v>
      </c>
      <c r="F607" s="466" t="s">
        <v>2884</v>
      </c>
      <c r="G607" s="750"/>
      <c r="H607" s="477">
        <v>45020</v>
      </c>
      <c r="I607" s="488">
        <f t="shared" si="20"/>
        <v>5989621.6216216208</v>
      </c>
      <c r="J607" s="488">
        <f t="shared" si="21"/>
        <v>658858.37837837834</v>
      </c>
      <c r="K607" s="474">
        <v>6648480</v>
      </c>
      <c r="L607" s="475"/>
    </row>
    <row r="608" spans="1:12" x14ac:dyDescent="0.2">
      <c r="A608" s="305">
        <v>50</v>
      </c>
      <c r="B608" s="469" t="s">
        <v>998</v>
      </c>
      <c r="C608" s="476" t="s">
        <v>4353</v>
      </c>
      <c r="D608" s="464"/>
      <c r="E608" s="465" t="s">
        <v>3087</v>
      </c>
      <c r="F608" s="466" t="s">
        <v>2919</v>
      </c>
      <c r="G608" s="750"/>
      <c r="H608" s="477">
        <v>45024</v>
      </c>
      <c r="I608" s="473">
        <f t="shared" si="20"/>
        <v>2557289.1891891891</v>
      </c>
      <c r="J608" s="473">
        <f t="shared" si="21"/>
        <v>281301.81081081083</v>
      </c>
      <c r="K608" s="474">
        <f>258638+2579953</f>
        <v>2838591</v>
      </c>
      <c r="L608" s="475"/>
    </row>
    <row r="609" spans="1:12" x14ac:dyDescent="0.2">
      <c r="A609" s="305">
        <v>51</v>
      </c>
      <c r="B609" s="485" t="s">
        <v>999</v>
      </c>
      <c r="C609" s="476" t="s">
        <v>4305</v>
      </c>
      <c r="D609" s="464"/>
      <c r="E609" s="465" t="s">
        <v>3151</v>
      </c>
      <c r="F609" s="466" t="s">
        <v>2994</v>
      </c>
      <c r="G609" s="750"/>
      <c r="H609" s="477">
        <v>45020</v>
      </c>
      <c r="I609" s="488">
        <f t="shared" si="20"/>
        <v>4325837.8378378376</v>
      </c>
      <c r="J609" s="488">
        <f t="shared" si="21"/>
        <v>475842.16216216213</v>
      </c>
      <c r="K609" s="474">
        <v>4801680</v>
      </c>
      <c r="L609" s="475"/>
    </row>
    <row r="610" spans="1:12" x14ac:dyDescent="0.2">
      <c r="A610" s="305">
        <v>52</v>
      </c>
      <c r="B610" s="469" t="s">
        <v>1000</v>
      </c>
      <c r="C610" s="476" t="s">
        <v>4306</v>
      </c>
      <c r="D610" s="464"/>
      <c r="E610" s="465" t="s">
        <v>2914</v>
      </c>
      <c r="F610" s="466" t="s">
        <v>2915</v>
      </c>
      <c r="G610" s="750"/>
      <c r="H610" s="477">
        <v>45024</v>
      </c>
      <c r="I610" s="473">
        <f t="shared" si="20"/>
        <v>621978.37837837834</v>
      </c>
      <c r="J610" s="473">
        <f t="shared" si="21"/>
        <v>68417.621621621613</v>
      </c>
      <c r="K610" s="474">
        <v>690396</v>
      </c>
      <c r="L610" s="475"/>
    </row>
    <row r="611" spans="1:12" x14ac:dyDescent="0.2">
      <c r="A611" s="305">
        <v>53</v>
      </c>
      <c r="B611" s="485" t="s">
        <v>1001</v>
      </c>
      <c r="C611" s="476" t="s">
        <v>4352</v>
      </c>
      <c r="D611" s="464"/>
      <c r="E611" s="471" t="s">
        <v>2918</v>
      </c>
      <c r="F611" s="471" t="s">
        <v>2919</v>
      </c>
      <c r="G611" s="750"/>
      <c r="H611" s="472">
        <v>45024</v>
      </c>
      <c r="I611" s="488">
        <f t="shared" si="20"/>
        <v>1556562.1621621621</v>
      </c>
      <c r="J611" s="488">
        <f t="shared" si="21"/>
        <v>171221.83783783784</v>
      </c>
      <c r="K611" s="474">
        <f>373464+1354320</f>
        <v>1727784</v>
      </c>
      <c r="L611" s="475"/>
    </row>
    <row r="612" spans="1:12" x14ac:dyDescent="0.2">
      <c r="A612" s="305">
        <v>54</v>
      </c>
      <c r="B612" s="469" t="s">
        <v>1002</v>
      </c>
      <c r="C612" s="476" t="s">
        <v>4307</v>
      </c>
      <c r="D612" s="464"/>
      <c r="E612" s="465" t="s">
        <v>3017</v>
      </c>
      <c r="F612" s="466" t="s">
        <v>3018</v>
      </c>
      <c r="G612" s="750"/>
      <c r="H612" s="477">
        <v>45021</v>
      </c>
      <c r="I612" s="473">
        <f t="shared" si="20"/>
        <v>399999.99999999994</v>
      </c>
      <c r="J612" s="473">
        <f t="shared" si="21"/>
        <v>43999.999999999993</v>
      </c>
      <c r="K612" s="474">
        <v>444000</v>
      </c>
      <c r="L612" s="475"/>
    </row>
    <row r="613" spans="1:12" x14ac:dyDescent="0.2">
      <c r="A613" s="305">
        <v>55</v>
      </c>
      <c r="B613" s="485" t="s">
        <v>1003</v>
      </c>
      <c r="C613" s="476" t="s">
        <v>4308</v>
      </c>
      <c r="D613" s="464"/>
      <c r="E613" s="465" t="s">
        <v>3517</v>
      </c>
      <c r="F613" s="466" t="s">
        <v>2912</v>
      </c>
      <c r="G613" s="750"/>
      <c r="H613" s="477">
        <v>45021</v>
      </c>
      <c r="I613" s="488">
        <f t="shared" si="20"/>
        <v>1459459.4594594594</v>
      </c>
      <c r="J613" s="488">
        <f t="shared" si="21"/>
        <v>160540.54054054053</v>
      </c>
      <c r="K613" s="474">
        <v>1620000</v>
      </c>
      <c r="L613" s="475"/>
    </row>
    <row r="614" spans="1:12" x14ac:dyDescent="0.2">
      <c r="A614" s="305">
        <v>56</v>
      </c>
      <c r="B614" s="469" t="s">
        <v>1004</v>
      </c>
      <c r="C614" s="476" t="s">
        <v>4372</v>
      </c>
      <c r="D614" s="464"/>
      <c r="E614" s="479" t="s">
        <v>2981</v>
      </c>
      <c r="F614" s="466" t="s">
        <v>2982</v>
      </c>
      <c r="G614" s="750"/>
      <c r="H614" s="477">
        <v>45021</v>
      </c>
      <c r="I614" s="473">
        <f t="shared" si="20"/>
        <v>16368997.297297295</v>
      </c>
      <c r="J614" s="473">
        <f t="shared" si="21"/>
        <v>1800589.7027027025</v>
      </c>
      <c r="K614" s="474">
        <f>6197040+4866677+7105870</f>
        <v>18169587</v>
      </c>
      <c r="L614" s="475"/>
    </row>
    <row r="615" spans="1:12" x14ac:dyDescent="0.2">
      <c r="A615" s="305">
        <v>57</v>
      </c>
      <c r="B615" s="485" t="s">
        <v>1005</v>
      </c>
      <c r="C615" s="476" t="s">
        <v>4312</v>
      </c>
      <c r="D615" s="464"/>
      <c r="E615" s="465" t="s">
        <v>2927</v>
      </c>
      <c r="F615" s="466" t="s">
        <v>2928</v>
      </c>
      <c r="G615" s="750"/>
      <c r="H615" s="477">
        <v>45021</v>
      </c>
      <c r="I615" s="488">
        <f t="shared" si="20"/>
        <v>2454954.9549549548</v>
      </c>
      <c r="J615" s="488">
        <f t="shared" si="21"/>
        <v>270045.04504504503</v>
      </c>
      <c r="K615" s="474">
        <v>2725000</v>
      </c>
      <c r="L615" s="475"/>
    </row>
    <row r="616" spans="1:12" x14ac:dyDescent="0.2">
      <c r="A616" s="305">
        <v>58</v>
      </c>
      <c r="B616" s="469" t="s">
        <v>1006</v>
      </c>
      <c r="C616" s="476" t="s">
        <v>4350</v>
      </c>
      <c r="D616" s="464"/>
      <c r="E616" s="465" t="s">
        <v>6909</v>
      </c>
      <c r="F616" s="466" t="s">
        <v>2886</v>
      </c>
      <c r="G616" s="750"/>
      <c r="H616" s="477">
        <v>45022</v>
      </c>
      <c r="I616" s="473">
        <f t="shared" si="20"/>
        <v>7015621.6216216208</v>
      </c>
      <c r="J616" s="473">
        <f t="shared" si="21"/>
        <v>771718.37837837834</v>
      </c>
      <c r="K616" s="474">
        <f>6099570+1687770</f>
        <v>7787340</v>
      </c>
      <c r="L616" s="475"/>
    </row>
    <row r="617" spans="1:12" x14ac:dyDescent="0.2">
      <c r="A617" s="305">
        <v>59</v>
      </c>
      <c r="B617" s="485" t="s">
        <v>1007</v>
      </c>
      <c r="C617" s="476" t="s">
        <v>4356</v>
      </c>
      <c r="D617" s="464"/>
      <c r="E617" s="465" t="s">
        <v>2929</v>
      </c>
      <c r="F617" s="466" t="s">
        <v>2886</v>
      </c>
      <c r="G617" s="750"/>
      <c r="H617" s="477">
        <v>45026</v>
      </c>
      <c r="I617" s="488">
        <f t="shared" si="20"/>
        <v>2906537.8378378376</v>
      </c>
      <c r="J617" s="488">
        <f t="shared" si="21"/>
        <v>319719.16216216213</v>
      </c>
      <c r="K617" s="474">
        <f>395010+2831247</f>
        <v>3226257</v>
      </c>
      <c r="L617" s="475"/>
    </row>
    <row r="618" spans="1:12" x14ac:dyDescent="0.2">
      <c r="A618" s="305">
        <v>60</v>
      </c>
      <c r="B618" s="469" t="s">
        <v>1008</v>
      </c>
      <c r="C618" s="476" t="s">
        <v>4364</v>
      </c>
      <c r="D618" s="464"/>
      <c r="E618" s="465" t="s">
        <v>2939</v>
      </c>
      <c r="F618" s="466" t="s">
        <v>2940</v>
      </c>
      <c r="G618" s="750"/>
      <c r="H618" s="477">
        <v>45022</v>
      </c>
      <c r="I618" s="473">
        <f t="shared" si="20"/>
        <v>4031902.7027027025</v>
      </c>
      <c r="J618" s="473">
        <f t="shared" si="21"/>
        <v>443509.29729729728</v>
      </c>
      <c r="K618" s="474">
        <f>395010+607392+3473010</f>
        <v>4475412</v>
      </c>
      <c r="L618" s="475"/>
    </row>
    <row r="619" spans="1:12" x14ac:dyDescent="0.2">
      <c r="A619" s="305">
        <v>61</v>
      </c>
      <c r="B619" s="485" t="s">
        <v>1009</v>
      </c>
      <c r="C619" s="476" t="s">
        <v>4318</v>
      </c>
      <c r="D619" s="464"/>
      <c r="E619" s="465" t="s">
        <v>4319</v>
      </c>
      <c r="F619" s="466" t="s">
        <v>3001</v>
      </c>
      <c r="G619" s="750"/>
      <c r="H619" s="477">
        <v>45024</v>
      </c>
      <c r="I619" s="488">
        <f t="shared" si="20"/>
        <v>299099.09909909905</v>
      </c>
      <c r="J619" s="488">
        <f t="shared" si="21"/>
        <v>32900.900900900895</v>
      </c>
      <c r="K619" s="474">
        <v>332000</v>
      </c>
      <c r="L619" s="475"/>
    </row>
    <row r="620" spans="1:12" x14ac:dyDescent="0.2">
      <c r="A620" s="305">
        <v>62</v>
      </c>
      <c r="B620" s="469" t="s">
        <v>1010</v>
      </c>
      <c r="C620" s="476" t="s">
        <v>4320</v>
      </c>
      <c r="D620" s="464"/>
      <c r="E620" s="465" t="s">
        <v>3020</v>
      </c>
      <c r="F620" s="466" t="s">
        <v>3021</v>
      </c>
      <c r="G620" s="750"/>
      <c r="H620" s="477">
        <v>45024</v>
      </c>
      <c r="I620" s="473">
        <f t="shared" si="20"/>
        <v>4221095.4954954954</v>
      </c>
      <c r="J620" s="473">
        <f t="shared" si="21"/>
        <v>464320.5045045045</v>
      </c>
      <c r="K620" s="474">
        <v>4685416</v>
      </c>
      <c r="L620" s="475"/>
    </row>
    <row r="621" spans="1:12" x14ac:dyDescent="0.2">
      <c r="A621" s="305">
        <v>63</v>
      </c>
      <c r="B621" s="485" t="s">
        <v>1011</v>
      </c>
      <c r="C621" s="476" t="s">
        <v>4349</v>
      </c>
      <c r="D621" s="464"/>
      <c r="E621" s="465" t="s">
        <v>2913</v>
      </c>
      <c r="F621" s="466" t="s">
        <v>2879</v>
      </c>
      <c r="G621" s="750"/>
      <c r="H621" s="477">
        <v>45024</v>
      </c>
      <c r="I621" s="488">
        <f t="shared" si="20"/>
        <v>7126540.5405405397</v>
      </c>
      <c r="J621" s="488">
        <f t="shared" si="21"/>
        <v>783919.45945945941</v>
      </c>
      <c r="K621" s="474">
        <f>5097168+2813292</f>
        <v>7910460</v>
      </c>
      <c r="L621" s="475"/>
    </row>
    <row r="622" spans="1:12" x14ac:dyDescent="0.2">
      <c r="A622" s="305">
        <v>64</v>
      </c>
      <c r="B622" s="469" t="s">
        <v>1012</v>
      </c>
      <c r="C622" s="476" t="s">
        <v>4334</v>
      </c>
      <c r="D622" s="464"/>
      <c r="E622" s="465" t="s">
        <v>3030</v>
      </c>
      <c r="F622" s="466" t="s">
        <v>2892</v>
      </c>
      <c r="G622" s="750"/>
      <c r="H622" s="477">
        <v>45024</v>
      </c>
      <c r="I622" s="473">
        <f t="shared" si="20"/>
        <v>2821499.9999999995</v>
      </c>
      <c r="J622" s="473">
        <f t="shared" si="21"/>
        <v>310364.99999999994</v>
      </c>
      <c r="K622" s="474">
        <f>560196+2571669</f>
        <v>3131865</v>
      </c>
      <c r="L622" s="475"/>
    </row>
    <row r="623" spans="1:12" x14ac:dyDescent="0.2">
      <c r="A623" s="305">
        <v>65</v>
      </c>
      <c r="B623" s="485" t="s">
        <v>1013</v>
      </c>
      <c r="C623" s="476" t="s">
        <v>4321</v>
      </c>
      <c r="D623" s="464"/>
      <c r="E623" s="465" t="s">
        <v>4322</v>
      </c>
      <c r="F623" s="466" t="s">
        <v>3092</v>
      </c>
      <c r="G623" s="750"/>
      <c r="H623" s="477">
        <v>45024</v>
      </c>
      <c r="I623" s="488">
        <f t="shared" si="20"/>
        <v>1457657.6576576575</v>
      </c>
      <c r="J623" s="488">
        <f t="shared" si="21"/>
        <v>160342.34234234234</v>
      </c>
      <c r="K623" s="474">
        <v>1618000</v>
      </c>
      <c r="L623" s="475"/>
    </row>
    <row r="624" spans="1:12" x14ac:dyDescent="0.2">
      <c r="A624" s="305">
        <v>66</v>
      </c>
      <c r="B624" s="469" t="s">
        <v>1014</v>
      </c>
      <c r="C624" s="476" t="s">
        <v>4323</v>
      </c>
      <c r="D624" s="464"/>
      <c r="E624" s="465" t="s">
        <v>2962</v>
      </c>
      <c r="F624" s="466" t="s">
        <v>2908</v>
      </c>
      <c r="G624" s="750"/>
      <c r="H624" s="477">
        <v>45026</v>
      </c>
      <c r="I624" s="473">
        <f t="shared" si="20"/>
        <v>452918.91891891888</v>
      </c>
      <c r="J624" s="473">
        <f t="shared" si="21"/>
        <v>49821.08108108108</v>
      </c>
      <c r="K624" s="474">
        <v>502740</v>
      </c>
      <c r="L624" s="475"/>
    </row>
    <row r="625" spans="1:12" x14ac:dyDescent="0.2">
      <c r="A625" s="305">
        <v>67</v>
      </c>
      <c r="B625" s="485" t="s">
        <v>1015</v>
      </c>
      <c r="C625" s="476" t="s">
        <v>4324</v>
      </c>
      <c r="D625" s="464"/>
      <c r="E625" s="465" t="s">
        <v>2907</v>
      </c>
      <c r="F625" s="466" t="s">
        <v>2792</v>
      </c>
      <c r="G625" s="750"/>
      <c r="H625" s="477">
        <v>45026</v>
      </c>
      <c r="I625" s="488">
        <f t="shared" ref="I625:I673" si="22">K625/1.11</f>
        <v>324324.32432432432</v>
      </c>
      <c r="J625" s="488">
        <f t="shared" ref="J625:J673" si="23">I625*11%</f>
        <v>35675.675675675673</v>
      </c>
      <c r="K625" s="474">
        <v>360000</v>
      </c>
      <c r="L625" s="475"/>
    </row>
    <row r="626" spans="1:12" x14ac:dyDescent="0.2">
      <c r="A626" s="305">
        <v>68</v>
      </c>
      <c r="B626" s="469" t="s">
        <v>1016</v>
      </c>
      <c r="C626" s="476" t="s">
        <v>4325</v>
      </c>
      <c r="D626" s="464"/>
      <c r="E626" s="465" t="s">
        <v>3958</v>
      </c>
      <c r="F626" s="466" t="s">
        <v>3959</v>
      </c>
      <c r="G626" s="750"/>
      <c r="H626" s="477">
        <v>45026</v>
      </c>
      <c r="I626" s="473">
        <f t="shared" si="22"/>
        <v>1033394.5945945946</v>
      </c>
      <c r="J626" s="473">
        <f t="shared" si="23"/>
        <v>113673.4054054054</v>
      </c>
      <c r="K626" s="474">
        <v>1147068</v>
      </c>
      <c r="L626" s="475"/>
    </row>
    <row r="627" spans="1:12" x14ac:dyDescent="0.2">
      <c r="A627" s="305">
        <v>69</v>
      </c>
      <c r="B627" s="485" t="s">
        <v>1017</v>
      </c>
      <c r="C627" s="476" t="s">
        <v>4326</v>
      </c>
      <c r="D627" s="464"/>
      <c r="E627" s="465" t="s">
        <v>3581</v>
      </c>
      <c r="F627" s="466" t="s">
        <v>2944</v>
      </c>
      <c r="G627" s="750"/>
      <c r="H627" s="477">
        <v>45026</v>
      </c>
      <c r="I627" s="488">
        <f t="shared" si="22"/>
        <v>8355855.8558558552</v>
      </c>
      <c r="J627" s="488">
        <f t="shared" si="23"/>
        <v>919144.14414414403</v>
      </c>
      <c r="K627" s="474">
        <v>9275000</v>
      </c>
      <c r="L627" s="475"/>
    </row>
    <row r="628" spans="1:12" x14ac:dyDescent="0.2">
      <c r="A628" s="305">
        <v>70</v>
      </c>
      <c r="B628" s="469" t="s">
        <v>1018</v>
      </c>
      <c r="C628" s="476" t="s">
        <v>4327</v>
      </c>
      <c r="D628" s="464"/>
      <c r="E628" s="465" t="s">
        <v>3531</v>
      </c>
      <c r="F628" s="466" t="s">
        <v>3061</v>
      </c>
      <c r="G628" s="750"/>
      <c r="H628" s="477">
        <v>45027</v>
      </c>
      <c r="I628" s="473">
        <f t="shared" si="22"/>
        <v>99099.099099099083</v>
      </c>
      <c r="J628" s="473">
        <f t="shared" si="23"/>
        <v>10900.900900900899</v>
      </c>
      <c r="K628" s="474">
        <v>110000</v>
      </c>
      <c r="L628" s="475"/>
    </row>
    <row r="629" spans="1:12" x14ac:dyDescent="0.2">
      <c r="A629" s="305">
        <v>71</v>
      </c>
      <c r="B629" s="485" t="s">
        <v>1019</v>
      </c>
      <c r="C629" s="476" t="s">
        <v>4328</v>
      </c>
      <c r="D629" s="464"/>
      <c r="E629" s="465" t="s">
        <v>3130</v>
      </c>
      <c r="F629" s="466" t="s">
        <v>2873</v>
      </c>
      <c r="G629" s="750"/>
      <c r="H629" s="477">
        <v>45027</v>
      </c>
      <c r="I629" s="488">
        <f t="shared" si="22"/>
        <v>595264.86486486485</v>
      </c>
      <c r="J629" s="488">
        <f t="shared" si="23"/>
        <v>65479.135135135133</v>
      </c>
      <c r="K629" s="474">
        <v>660744</v>
      </c>
      <c r="L629" s="475"/>
    </row>
    <row r="630" spans="1:12" x14ac:dyDescent="0.2">
      <c r="A630" s="305">
        <v>72</v>
      </c>
      <c r="B630" s="469" t="s">
        <v>1020</v>
      </c>
      <c r="C630" s="476" t="s">
        <v>4329</v>
      </c>
      <c r="D630" s="464"/>
      <c r="E630" s="465" t="s">
        <v>3046</v>
      </c>
      <c r="F630" s="466" t="s">
        <v>3047</v>
      </c>
      <c r="G630" s="750"/>
      <c r="H630" s="477">
        <v>45027</v>
      </c>
      <c r="I630" s="473">
        <f t="shared" si="22"/>
        <v>486486.48648648645</v>
      </c>
      <c r="J630" s="473">
        <f t="shared" si="23"/>
        <v>53513.513513513513</v>
      </c>
      <c r="K630" s="474">
        <v>540000</v>
      </c>
      <c r="L630" s="475"/>
    </row>
    <row r="631" spans="1:12" x14ac:dyDescent="0.2">
      <c r="A631" s="305">
        <v>73</v>
      </c>
      <c r="B631" s="485" t="s">
        <v>1021</v>
      </c>
      <c r="C631" s="476" t="s">
        <v>4330</v>
      </c>
      <c r="D631" s="464"/>
      <c r="E631" s="471" t="s">
        <v>4331</v>
      </c>
      <c r="F631" s="471" t="s">
        <v>4332</v>
      </c>
      <c r="G631" s="750"/>
      <c r="H631" s="472">
        <v>45027</v>
      </c>
      <c r="I631" s="488">
        <f t="shared" si="22"/>
        <v>84113.513513513506</v>
      </c>
      <c r="J631" s="488">
        <f t="shared" si="23"/>
        <v>9252.4864864864849</v>
      </c>
      <c r="K631" s="474">
        <v>93366</v>
      </c>
      <c r="L631" s="475"/>
    </row>
    <row r="632" spans="1:12" x14ac:dyDescent="0.2">
      <c r="A632" s="305">
        <v>74</v>
      </c>
      <c r="B632" s="469" t="s">
        <v>1022</v>
      </c>
      <c r="C632" s="476" t="s">
        <v>4333</v>
      </c>
      <c r="D632" s="464"/>
      <c r="E632" s="465" t="s">
        <v>2911</v>
      </c>
      <c r="F632" s="466" t="s">
        <v>2912</v>
      </c>
      <c r="G632" s="750"/>
      <c r="H632" s="477">
        <v>45028</v>
      </c>
      <c r="I632" s="473">
        <f t="shared" si="22"/>
        <v>6024745.9459459456</v>
      </c>
      <c r="J632" s="473">
        <f t="shared" si="23"/>
        <v>662722.05405405397</v>
      </c>
      <c r="K632" s="474">
        <v>6687468</v>
      </c>
      <c r="L632" s="475"/>
    </row>
    <row r="633" spans="1:12" x14ac:dyDescent="0.2">
      <c r="A633" s="305">
        <v>75</v>
      </c>
      <c r="B633" s="485" t="s">
        <v>1023</v>
      </c>
      <c r="C633" s="476" t="s">
        <v>4335</v>
      </c>
      <c r="D633" s="464"/>
      <c r="E633" s="465" t="s">
        <v>3605</v>
      </c>
      <c r="F633" s="466" t="s">
        <v>2915</v>
      </c>
      <c r="G633" s="750"/>
      <c r="H633" s="477">
        <v>45028</v>
      </c>
      <c r="I633" s="488">
        <f t="shared" si="22"/>
        <v>41356889.189189188</v>
      </c>
      <c r="J633" s="488">
        <f t="shared" si="23"/>
        <v>4549257.8108108109</v>
      </c>
      <c r="K633" s="474">
        <f>41725368+3667779+513000</f>
        <v>45906147</v>
      </c>
      <c r="L633" s="475"/>
    </row>
    <row r="634" spans="1:12" x14ac:dyDescent="0.2">
      <c r="A634" s="305">
        <v>76</v>
      </c>
      <c r="B634" s="469" t="s">
        <v>1024</v>
      </c>
      <c r="C634" s="476" t="s">
        <v>4337</v>
      </c>
      <c r="D634" s="464"/>
      <c r="E634" s="465" t="s">
        <v>3040</v>
      </c>
      <c r="F634" s="466" t="s">
        <v>2886</v>
      </c>
      <c r="G634" s="750"/>
      <c r="H634" s="477">
        <v>45028</v>
      </c>
      <c r="I634" s="473">
        <f t="shared" si="22"/>
        <v>252252.25225225222</v>
      </c>
      <c r="J634" s="473">
        <f t="shared" si="23"/>
        <v>27747.747747747744</v>
      </c>
      <c r="K634" s="474">
        <v>280000</v>
      </c>
      <c r="L634" s="475"/>
    </row>
    <row r="635" spans="1:12" x14ac:dyDescent="0.2">
      <c r="A635" s="305">
        <v>77</v>
      </c>
      <c r="B635" s="485" t="s">
        <v>1025</v>
      </c>
      <c r="C635" s="476" t="s">
        <v>4358</v>
      </c>
      <c r="D635" s="464"/>
      <c r="E635" s="465" t="s">
        <v>2948</v>
      </c>
      <c r="F635" s="466" t="s">
        <v>2892</v>
      </c>
      <c r="G635" s="750"/>
      <c r="H635" s="477">
        <v>45024</v>
      </c>
      <c r="I635" s="488">
        <f t="shared" si="22"/>
        <v>58923457.657657653</v>
      </c>
      <c r="J635" s="488">
        <f t="shared" si="23"/>
        <v>6481580.3423423423</v>
      </c>
      <c r="K635" s="474">
        <f>14211742+44840304+6352992</f>
        <v>65405038</v>
      </c>
      <c r="L635" s="475"/>
    </row>
    <row r="636" spans="1:12" x14ac:dyDescent="0.2">
      <c r="A636" s="305">
        <v>78</v>
      </c>
      <c r="B636" s="469" t="s">
        <v>1026</v>
      </c>
      <c r="C636" s="476" t="s">
        <v>4338</v>
      </c>
      <c r="D636" s="464"/>
      <c r="E636" s="465" t="s">
        <v>4026</v>
      </c>
      <c r="F636" s="466" t="s">
        <v>3033</v>
      </c>
      <c r="G636" s="750"/>
      <c r="H636" s="477">
        <v>45028</v>
      </c>
      <c r="I636" s="473">
        <f t="shared" si="22"/>
        <v>2894983.7837837837</v>
      </c>
      <c r="J636" s="473">
        <f t="shared" si="23"/>
        <v>318448.21621621621</v>
      </c>
      <c r="K636" s="474">
        <v>3213432</v>
      </c>
      <c r="L636" s="475"/>
    </row>
    <row r="637" spans="1:12" x14ac:dyDescent="0.2">
      <c r="A637" s="305">
        <v>79</v>
      </c>
      <c r="B637" s="485" t="s">
        <v>1027</v>
      </c>
      <c r="C637" s="476" t="s">
        <v>4339</v>
      </c>
      <c r="D637" s="464"/>
      <c r="E637" s="465" t="s">
        <v>3087</v>
      </c>
      <c r="F637" s="466" t="s">
        <v>2892</v>
      </c>
      <c r="G637" s="750"/>
      <c r="H637" s="477">
        <v>45028</v>
      </c>
      <c r="I637" s="488">
        <f t="shared" si="22"/>
        <v>408828.82882882882</v>
      </c>
      <c r="J637" s="488">
        <f t="shared" si="23"/>
        <v>44971.171171171169</v>
      </c>
      <c r="K637" s="474">
        <v>453800</v>
      </c>
      <c r="L637" s="475"/>
    </row>
    <row r="638" spans="1:12" x14ac:dyDescent="0.2">
      <c r="A638" s="305">
        <v>80</v>
      </c>
      <c r="B638" s="469" t="s">
        <v>1028</v>
      </c>
      <c r="C638" s="476" t="s">
        <v>4340</v>
      </c>
      <c r="D638" s="464"/>
      <c r="E638" s="465" t="s">
        <v>4341</v>
      </c>
      <c r="F638" s="466" t="s">
        <v>2946</v>
      </c>
      <c r="G638" s="750"/>
      <c r="H638" s="477">
        <v>45029</v>
      </c>
      <c r="I638" s="473">
        <f t="shared" si="22"/>
        <v>544144.14414414414</v>
      </c>
      <c r="J638" s="473">
        <f t="shared" si="23"/>
        <v>59855.855855855858</v>
      </c>
      <c r="K638" s="474">
        <v>604000</v>
      </c>
      <c r="L638" s="475"/>
    </row>
    <row r="639" spans="1:12" x14ac:dyDescent="0.2">
      <c r="A639" s="305">
        <v>81</v>
      </c>
      <c r="B639" s="485" t="s">
        <v>1029</v>
      </c>
      <c r="C639" s="476" t="s">
        <v>4342</v>
      </c>
      <c r="D639" s="464"/>
      <c r="E639" s="465" t="s">
        <v>3553</v>
      </c>
      <c r="F639" s="466" t="s">
        <v>2908</v>
      </c>
      <c r="G639" s="750"/>
      <c r="H639" s="477">
        <v>45029</v>
      </c>
      <c r="I639" s="488">
        <f t="shared" si="22"/>
        <v>458648.64864864858</v>
      </c>
      <c r="J639" s="488">
        <f t="shared" si="23"/>
        <v>50451.351351351346</v>
      </c>
      <c r="K639" s="474">
        <v>509100</v>
      </c>
      <c r="L639" s="475"/>
    </row>
    <row r="640" spans="1:12" x14ac:dyDescent="0.2">
      <c r="A640" s="305">
        <v>82</v>
      </c>
      <c r="B640" s="469" t="s">
        <v>1030</v>
      </c>
      <c r="C640" s="476" t="s">
        <v>4343</v>
      </c>
      <c r="D640" s="464"/>
      <c r="E640" s="465" t="s">
        <v>4344</v>
      </c>
      <c r="F640" s="466" t="s">
        <v>3025</v>
      </c>
      <c r="G640" s="750"/>
      <c r="H640" s="477">
        <v>45029</v>
      </c>
      <c r="I640" s="473">
        <f t="shared" si="22"/>
        <v>1479909.9099099098</v>
      </c>
      <c r="J640" s="473">
        <f t="shared" si="23"/>
        <v>162790.09009009009</v>
      </c>
      <c r="K640" s="474">
        <v>1642700</v>
      </c>
      <c r="L640" s="475"/>
    </row>
    <row r="641" spans="1:12" x14ac:dyDescent="0.2">
      <c r="A641" s="305">
        <v>83</v>
      </c>
      <c r="B641" s="485" t="s">
        <v>1031</v>
      </c>
      <c r="C641" s="476" t="s">
        <v>4345</v>
      </c>
      <c r="D641" s="464"/>
      <c r="E641" s="465" t="s">
        <v>2984</v>
      </c>
      <c r="F641" s="466" t="s">
        <v>2873</v>
      </c>
      <c r="G641" s="750"/>
      <c r="H641" s="477">
        <v>45030</v>
      </c>
      <c r="I641" s="488">
        <f t="shared" si="22"/>
        <v>1236591.8918918918</v>
      </c>
      <c r="J641" s="488">
        <f t="shared" si="23"/>
        <v>136025.10810810811</v>
      </c>
      <c r="K641" s="474">
        <v>1372617</v>
      </c>
      <c r="L641" s="475"/>
    </row>
    <row r="642" spans="1:12" x14ac:dyDescent="0.2">
      <c r="A642" s="305">
        <v>84</v>
      </c>
      <c r="B642" s="469" t="s">
        <v>1032</v>
      </c>
      <c r="C642" s="476" t="s">
        <v>4346</v>
      </c>
      <c r="D642" s="464"/>
      <c r="E642" s="471" t="s">
        <v>3141</v>
      </c>
      <c r="F642" s="471" t="s">
        <v>2873</v>
      </c>
      <c r="G642" s="750"/>
      <c r="H642" s="472">
        <v>45030</v>
      </c>
      <c r="I642" s="473">
        <f t="shared" si="22"/>
        <v>174324.32432432432</v>
      </c>
      <c r="J642" s="473">
        <f t="shared" si="23"/>
        <v>19175.675675675677</v>
      </c>
      <c r="K642" s="474">
        <v>193500</v>
      </c>
      <c r="L642" s="475" t="s">
        <v>3142</v>
      </c>
    </row>
    <row r="643" spans="1:12" x14ac:dyDescent="0.2">
      <c r="A643" s="305">
        <v>85</v>
      </c>
      <c r="B643" s="485" t="s">
        <v>1033</v>
      </c>
      <c r="C643" s="476" t="s">
        <v>4347</v>
      </c>
      <c r="D643" s="464"/>
      <c r="E643" s="471" t="s">
        <v>3141</v>
      </c>
      <c r="F643" s="471" t="s">
        <v>2873</v>
      </c>
      <c r="G643" s="750"/>
      <c r="H643" s="472">
        <v>45030</v>
      </c>
      <c r="I643" s="488">
        <f t="shared" si="22"/>
        <v>1007500.9009009008</v>
      </c>
      <c r="J643" s="488">
        <f t="shared" si="23"/>
        <v>110825.0990990991</v>
      </c>
      <c r="K643" s="474">
        <v>1118326</v>
      </c>
      <c r="L643" s="475" t="s">
        <v>3145</v>
      </c>
    </row>
    <row r="644" spans="1:12" x14ac:dyDescent="0.2">
      <c r="A644" s="305">
        <v>86</v>
      </c>
      <c r="B644" s="469" t="s">
        <v>1034</v>
      </c>
      <c r="C644" s="476" t="s">
        <v>4348</v>
      </c>
      <c r="D644" s="464"/>
      <c r="E644" s="465" t="s">
        <v>3523</v>
      </c>
      <c r="F644" s="466" t="s">
        <v>2873</v>
      </c>
      <c r="G644" s="750"/>
      <c r="H644" s="477">
        <v>45030</v>
      </c>
      <c r="I644" s="473">
        <f t="shared" si="22"/>
        <v>99099.099099099083</v>
      </c>
      <c r="J644" s="473">
        <f t="shared" si="23"/>
        <v>10900.900900900899</v>
      </c>
      <c r="K644" s="474">
        <v>110000</v>
      </c>
      <c r="L644" s="475"/>
    </row>
    <row r="645" spans="1:12" x14ac:dyDescent="0.2">
      <c r="A645" s="305">
        <v>87</v>
      </c>
      <c r="B645" s="485" t="s">
        <v>1035</v>
      </c>
      <c r="C645" s="476" t="s">
        <v>4351</v>
      </c>
      <c r="D645" s="476"/>
      <c r="E645" s="476" t="s">
        <v>3076</v>
      </c>
      <c r="F645" s="476" t="s">
        <v>3077</v>
      </c>
      <c r="G645" s="476"/>
      <c r="H645" s="477">
        <v>45030</v>
      </c>
      <c r="I645" s="488">
        <f t="shared" si="22"/>
        <v>3010670.2702702698</v>
      </c>
      <c r="J645" s="488">
        <f t="shared" si="23"/>
        <v>331173.7297297297</v>
      </c>
      <c r="K645" s="474">
        <v>3341844</v>
      </c>
      <c r="L645" s="475"/>
    </row>
    <row r="646" spans="1:12" x14ac:dyDescent="0.2">
      <c r="A646" s="305">
        <v>88</v>
      </c>
      <c r="B646" s="469" t="s">
        <v>1036</v>
      </c>
      <c r="C646" s="476" t="s">
        <v>4354</v>
      </c>
      <c r="D646" s="464"/>
      <c r="E646" s="465" t="s">
        <v>3035</v>
      </c>
      <c r="F646" s="466" t="s">
        <v>2890</v>
      </c>
      <c r="G646" s="750"/>
      <c r="H646" s="477">
        <v>45034</v>
      </c>
      <c r="I646" s="473">
        <f t="shared" si="22"/>
        <v>957693.69369369361</v>
      </c>
      <c r="J646" s="473">
        <f t="shared" si="23"/>
        <v>105346.3063063063</v>
      </c>
      <c r="K646" s="474">
        <v>1063040</v>
      </c>
      <c r="L646" s="475"/>
    </row>
    <row r="647" spans="1:12" x14ac:dyDescent="0.2">
      <c r="A647" s="305">
        <v>89</v>
      </c>
      <c r="B647" s="485" t="s">
        <v>1037</v>
      </c>
      <c r="C647" s="476" t="s">
        <v>4355</v>
      </c>
      <c r="D647" s="464"/>
      <c r="E647" s="465" t="s">
        <v>2885</v>
      </c>
      <c r="F647" s="466" t="s">
        <v>2886</v>
      </c>
      <c r="G647" s="750"/>
      <c r="H647" s="477">
        <v>45045</v>
      </c>
      <c r="I647" s="488">
        <f t="shared" si="22"/>
        <v>4422891.8918918911</v>
      </c>
      <c r="J647" s="488">
        <f t="shared" si="23"/>
        <v>486518.10810810805</v>
      </c>
      <c r="K647" s="474">
        <v>4909410</v>
      </c>
      <c r="L647" s="475"/>
    </row>
    <row r="648" spans="1:12" x14ac:dyDescent="0.2">
      <c r="A648" s="305">
        <v>90</v>
      </c>
      <c r="B648" s="469" t="s">
        <v>1038</v>
      </c>
      <c r="C648" s="476" t="s">
        <v>4357</v>
      </c>
      <c r="D648" s="464"/>
      <c r="E648" s="465" t="s">
        <v>3156</v>
      </c>
      <c r="F648" s="466" t="s">
        <v>2912</v>
      </c>
      <c r="G648" s="750"/>
      <c r="H648" s="477">
        <v>45045</v>
      </c>
      <c r="I648" s="473">
        <f t="shared" si="22"/>
        <v>1853270.2702702701</v>
      </c>
      <c r="J648" s="473">
        <f t="shared" si="23"/>
        <v>203859.7297297297</v>
      </c>
      <c r="K648" s="474">
        <v>2057130</v>
      </c>
      <c r="L648" s="475"/>
    </row>
    <row r="649" spans="1:12" x14ac:dyDescent="0.2">
      <c r="A649" s="305">
        <v>91</v>
      </c>
      <c r="B649" s="485" t="s">
        <v>1039</v>
      </c>
      <c r="C649" s="476" t="s">
        <v>4371</v>
      </c>
      <c r="D649" s="464"/>
      <c r="E649" s="465" t="s">
        <v>3024</v>
      </c>
      <c r="F649" s="466" t="s">
        <v>3025</v>
      </c>
      <c r="G649" s="750"/>
      <c r="H649" s="477">
        <v>45024</v>
      </c>
      <c r="I649" s="488">
        <f t="shared" si="22"/>
        <v>3430759.4594594589</v>
      </c>
      <c r="J649" s="488">
        <f t="shared" si="23"/>
        <v>377383.54054054047</v>
      </c>
      <c r="K649" s="474">
        <f>2599515+1208628</f>
        <v>3808143</v>
      </c>
      <c r="L649" s="475"/>
    </row>
    <row r="650" spans="1:12" x14ac:dyDescent="0.2">
      <c r="A650" s="305">
        <v>92</v>
      </c>
      <c r="B650" s="469" t="s">
        <v>1040</v>
      </c>
      <c r="C650" s="476" t="s">
        <v>4360</v>
      </c>
      <c r="D650" s="464"/>
      <c r="E650" s="465" t="s">
        <v>3032</v>
      </c>
      <c r="F650" s="466" t="s">
        <v>3033</v>
      </c>
      <c r="G650" s="750"/>
      <c r="H650" s="477">
        <v>45024</v>
      </c>
      <c r="I650" s="473">
        <f t="shared" si="22"/>
        <v>7277657.6576576568</v>
      </c>
      <c r="J650" s="473">
        <f t="shared" si="23"/>
        <v>800542.34234234225</v>
      </c>
      <c r="K650" s="474">
        <v>8078200</v>
      </c>
      <c r="L650" s="475"/>
    </row>
    <row r="651" spans="1:12" x14ac:dyDescent="0.2">
      <c r="A651" s="305">
        <v>93</v>
      </c>
      <c r="B651" s="485" t="s">
        <v>1041</v>
      </c>
      <c r="C651" s="476" t="s">
        <v>4373</v>
      </c>
      <c r="D651" s="464"/>
      <c r="E651" s="465" t="s">
        <v>3461</v>
      </c>
      <c r="F651" s="466" t="s">
        <v>2890</v>
      </c>
      <c r="G651" s="750"/>
      <c r="H651" s="477">
        <v>45024</v>
      </c>
      <c r="I651" s="488">
        <f t="shared" si="22"/>
        <v>23477330.630630627</v>
      </c>
      <c r="J651" s="488">
        <f t="shared" si="23"/>
        <v>2582506.369369369</v>
      </c>
      <c r="K651" s="474">
        <f>16390278+9669559</f>
        <v>26059837</v>
      </c>
      <c r="L651" s="475"/>
    </row>
    <row r="652" spans="1:12" x14ac:dyDescent="0.2">
      <c r="A652" s="305">
        <v>94</v>
      </c>
      <c r="B652" s="469" t="s">
        <v>1042</v>
      </c>
      <c r="C652" s="476" t="s">
        <v>4369</v>
      </c>
      <c r="D652" s="464"/>
      <c r="E652" s="465" t="s">
        <v>2889</v>
      </c>
      <c r="F652" s="466" t="s">
        <v>2808</v>
      </c>
      <c r="G652" s="750"/>
      <c r="H652" s="477">
        <v>45026</v>
      </c>
      <c r="I652" s="473">
        <f t="shared" si="22"/>
        <v>15518254.954954954</v>
      </c>
      <c r="J652" s="473">
        <f t="shared" si="23"/>
        <v>1707008.045045045</v>
      </c>
      <c r="K652" s="474">
        <f>11965525+5259738</f>
        <v>17225263</v>
      </c>
      <c r="L652" s="475"/>
    </row>
    <row r="653" spans="1:12" x14ac:dyDescent="0.2">
      <c r="A653" s="305">
        <v>95</v>
      </c>
      <c r="B653" s="485" t="s">
        <v>1043</v>
      </c>
      <c r="C653" s="476" t="s">
        <v>4363</v>
      </c>
      <c r="D653" s="464"/>
      <c r="E653" s="465" t="s">
        <v>2934</v>
      </c>
      <c r="F653" s="466" t="s">
        <v>2935</v>
      </c>
      <c r="G653" s="750"/>
      <c r="H653" s="477">
        <v>45027</v>
      </c>
      <c r="I653" s="488">
        <f t="shared" si="22"/>
        <v>6725383.7837837832</v>
      </c>
      <c r="J653" s="488">
        <f t="shared" si="23"/>
        <v>739792.21621621621</v>
      </c>
      <c r="K653" s="474">
        <v>7465176</v>
      </c>
      <c r="L653" s="475"/>
    </row>
    <row r="654" spans="1:12" x14ac:dyDescent="0.2">
      <c r="A654" s="305">
        <v>96</v>
      </c>
      <c r="B654" s="469" t="s">
        <v>1044</v>
      </c>
      <c r="C654" s="480" t="s">
        <v>4365</v>
      </c>
      <c r="D654" s="481"/>
      <c r="E654" s="482" t="s">
        <v>3164</v>
      </c>
      <c r="F654" s="483" t="s">
        <v>2928</v>
      </c>
      <c r="G654" s="750"/>
      <c r="H654" s="484">
        <v>45027</v>
      </c>
      <c r="I654" s="473">
        <f t="shared" si="22"/>
        <v>4653972.9729729723</v>
      </c>
      <c r="J654" s="473">
        <f t="shared" si="23"/>
        <v>511937.02702702698</v>
      </c>
      <c r="K654" s="474">
        <v>5165910</v>
      </c>
      <c r="L654" s="475"/>
    </row>
    <row r="655" spans="1:12" x14ac:dyDescent="0.2">
      <c r="A655" s="305">
        <v>97</v>
      </c>
      <c r="B655" s="485" t="s">
        <v>1045</v>
      </c>
      <c r="C655" s="476" t="s">
        <v>4380</v>
      </c>
      <c r="D655" s="464"/>
      <c r="E655" s="471" t="s">
        <v>2907</v>
      </c>
      <c r="F655" s="471" t="s">
        <v>2926</v>
      </c>
      <c r="G655" s="750"/>
      <c r="H655" s="477">
        <v>45027</v>
      </c>
      <c r="I655" s="488">
        <f t="shared" si="22"/>
        <v>8493616.2162162159</v>
      </c>
      <c r="J655" s="488">
        <f t="shared" si="23"/>
        <v>934297.78378378379</v>
      </c>
      <c r="K655" s="474">
        <f>6903954+2523960</f>
        <v>9427914</v>
      </c>
      <c r="L655" s="475"/>
    </row>
    <row r="656" spans="1:12" x14ac:dyDescent="0.2">
      <c r="A656" s="305">
        <v>98</v>
      </c>
      <c r="B656" s="469" t="s">
        <v>1046</v>
      </c>
      <c r="C656" s="476" t="s">
        <v>4366</v>
      </c>
      <c r="D656" s="464"/>
      <c r="E656" s="465" t="s">
        <v>2936</v>
      </c>
      <c r="F656" s="466" t="s">
        <v>2922</v>
      </c>
      <c r="G656" s="750"/>
      <c r="H656" s="477">
        <v>45027</v>
      </c>
      <c r="I656" s="473">
        <f t="shared" si="22"/>
        <v>1104567.5675675676</v>
      </c>
      <c r="J656" s="473">
        <f t="shared" si="23"/>
        <v>121502.43243243244</v>
      </c>
      <c r="K656" s="474">
        <v>1226070</v>
      </c>
      <c r="L656" s="475"/>
    </row>
    <row r="657" spans="1:12" x14ac:dyDescent="0.2">
      <c r="A657" s="305">
        <v>99</v>
      </c>
      <c r="B657" s="485" t="s">
        <v>1047</v>
      </c>
      <c r="C657" s="476" t="s">
        <v>4367</v>
      </c>
      <c r="D657" s="464"/>
      <c r="E657" s="465" t="s">
        <v>2893</v>
      </c>
      <c r="F657" s="466" t="s">
        <v>2890</v>
      </c>
      <c r="G657" s="750"/>
      <c r="H657" s="477">
        <v>45027</v>
      </c>
      <c r="I657" s="488">
        <f t="shared" si="22"/>
        <v>2894983.7837837837</v>
      </c>
      <c r="J657" s="488">
        <f t="shared" si="23"/>
        <v>318448.21621621621</v>
      </c>
      <c r="K657" s="474">
        <v>3213432</v>
      </c>
      <c r="L657" s="475"/>
    </row>
    <row r="658" spans="1:12" x14ac:dyDescent="0.2">
      <c r="A658" s="305">
        <v>100</v>
      </c>
      <c r="B658" s="469" t="s">
        <v>1048</v>
      </c>
      <c r="C658" s="476" t="s">
        <v>4370</v>
      </c>
      <c r="D658" s="464"/>
      <c r="E658" s="465" t="s">
        <v>2996</v>
      </c>
      <c r="F658" s="466" t="s">
        <v>2785</v>
      </c>
      <c r="G658" s="750"/>
      <c r="H658" s="477">
        <v>45028</v>
      </c>
      <c r="I658" s="473">
        <f t="shared" si="22"/>
        <v>89239462.162162155</v>
      </c>
      <c r="J658" s="473">
        <f t="shared" si="23"/>
        <v>9816340.8378378376</v>
      </c>
      <c r="K658" s="474">
        <f>47377260+51678543</f>
        <v>99055803</v>
      </c>
      <c r="L658" s="475"/>
    </row>
    <row r="659" spans="1:12" x14ac:dyDescent="0.2">
      <c r="A659" s="305">
        <v>101</v>
      </c>
      <c r="B659" s="485" t="s">
        <v>1049</v>
      </c>
      <c r="C659" s="476" t="s">
        <v>4374</v>
      </c>
      <c r="D659" s="464"/>
      <c r="E659" s="465" t="s">
        <v>2906</v>
      </c>
      <c r="F659" s="466" t="s">
        <v>2892</v>
      </c>
      <c r="G659" s="750"/>
      <c r="H659" s="477">
        <v>45028</v>
      </c>
      <c r="I659" s="488">
        <f t="shared" si="22"/>
        <v>6401684.6846846845</v>
      </c>
      <c r="J659" s="488">
        <f t="shared" si="23"/>
        <v>704185.31531531527</v>
      </c>
      <c r="K659" s="474">
        <v>7105870</v>
      </c>
      <c r="L659" s="475"/>
    </row>
    <row r="660" spans="1:12" x14ac:dyDescent="0.2">
      <c r="A660" s="305">
        <v>102</v>
      </c>
      <c r="B660" s="469" t="s">
        <v>1050</v>
      </c>
      <c r="C660" s="476" t="s">
        <v>4377</v>
      </c>
      <c r="D660" s="464"/>
      <c r="E660" s="465" t="s">
        <v>3014</v>
      </c>
      <c r="F660" s="466" t="s">
        <v>3006</v>
      </c>
      <c r="G660" s="750"/>
      <c r="H660" s="477">
        <v>45028</v>
      </c>
      <c r="I660" s="473">
        <f t="shared" si="22"/>
        <v>2917167.5675675673</v>
      </c>
      <c r="J660" s="473">
        <f t="shared" si="23"/>
        <v>320888.43243243243</v>
      </c>
      <c r="K660" s="474">
        <v>3238056</v>
      </c>
      <c r="L660" s="475"/>
    </row>
    <row r="661" spans="1:12" x14ac:dyDescent="0.2">
      <c r="A661" s="305">
        <v>103</v>
      </c>
      <c r="B661" s="485" t="s">
        <v>1051</v>
      </c>
      <c r="C661" s="476" t="s">
        <v>4379</v>
      </c>
      <c r="D661" s="464"/>
      <c r="E661" s="465" t="s">
        <v>2948</v>
      </c>
      <c r="F661" s="466" t="s">
        <v>2892</v>
      </c>
      <c r="G661" s="750"/>
      <c r="H661" s="477">
        <v>45031</v>
      </c>
      <c r="I661" s="488">
        <f t="shared" si="22"/>
        <v>13866344.144144142</v>
      </c>
      <c r="J661" s="488">
        <f t="shared" si="23"/>
        <v>1525297.8558558556</v>
      </c>
      <c r="K661" s="474">
        <v>15391642</v>
      </c>
      <c r="L661" s="475"/>
    </row>
    <row r="662" spans="1:12" x14ac:dyDescent="0.2">
      <c r="A662" s="305">
        <v>104</v>
      </c>
      <c r="B662" s="469" t="s">
        <v>1052</v>
      </c>
      <c r="C662" s="476" t="s">
        <v>4381</v>
      </c>
      <c r="D662" s="464"/>
      <c r="E662" s="465" t="s">
        <v>3608</v>
      </c>
      <c r="F662" s="466" t="s">
        <v>3609</v>
      </c>
      <c r="G662" s="750"/>
      <c r="H662" s="477">
        <v>45019</v>
      </c>
      <c r="I662" s="473">
        <f t="shared" si="22"/>
        <v>7091440.5405405397</v>
      </c>
      <c r="J662" s="473">
        <f t="shared" si="23"/>
        <v>780058.45945945941</v>
      </c>
      <c r="K662" s="474">
        <f>6792660+309339+769500</f>
        <v>7871499</v>
      </c>
      <c r="L662" s="475"/>
    </row>
    <row r="663" spans="1:12" x14ac:dyDescent="0.2">
      <c r="A663" s="305">
        <v>105</v>
      </c>
      <c r="B663" s="485" t="s">
        <v>1053</v>
      </c>
      <c r="C663" s="476" t="s">
        <v>4382</v>
      </c>
      <c r="D663" s="464"/>
      <c r="E663" s="465" t="s">
        <v>3612</v>
      </c>
      <c r="F663" s="466" t="s">
        <v>3609</v>
      </c>
      <c r="G663" s="750"/>
      <c r="H663" s="477">
        <v>45017</v>
      </c>
      <c r="I663" s="488">
        <f t="shared" si="22"/>
        <v>26104185.585585583</v>
      </c>
      <c r="J663" s="488">
        <f t="shared" si="23"/>
        <v>2871460.4144144142</v>
      </c>
      <c r="K663" s="474">
        <v>28975646</v>
      </c>
      <c r="L663" s="475"/>
    </row>
    <row r="664" spans="1:12" x14ac:dyDescent="0.2">
      <c r="A664" s="305">
        <v>106</v>
      </c>
      <c r="B664" s="469" t="s">
        <v>1054</v>
      </c>
      <c r="C664" s="476" t="s">
        <v>4383</v>
      </c>
      <c r="D664" s="464"/>
      <c r="E664" s="465" t="s">
        <v>3612</v>
      </c>
      <c r="F664" s="466" t="s">
        <v>3609</v>
      </c>
      <c r="G664" s="750"/>
      <c r="H664" s="477">
        <v>45020</v>
      </c>
      <c r="I664" s="473">
        <f t="shared" si="22"/>
        <v>33322184.684684683</v>
      </c>
      <c r="J664" s="473">
        <f t="shared" si="23"/>
        <v>3665440.315315315</v>
      </c>
      <c r="K664" s="474">
        <v>36987625</v>
      </c>
      <c r="L664" s="475"/>
    </row>
    <row r="665" spans="1:12" x14ac:dyDescent="0.2">
      <c r="A665" s="305">
        <v>107</v>
      </c>
      <c r="B665" s="485" t="s">
        <v>1055</v>
      </c>
      <c r="C665" s="480" t="s">
        <v>4387</v>
      </c>
      <c r="D665" s="481"/>
      <c r="E665" s="482" t="s">
        <v>3614</v>
      </c>
      <c r="F665" s="466" t="s">
        <v>3609</v>
      </c>
      <c r="G665" s="750"/>
      <c r="H665" s="484">
        <v>45045</v>
      </c>
      <c r="I665" s="488">
        <f t="shared" si="22"/>
        <v>50500819.819819815</v>
      </c>
      <c r="J665" s="488">
        <f t="shared" si="23"/>
        <v>5555090.1801801799</v>
      </c>
      <c r="K665" s="474">
        <v>56055910</v>
      </c>
      <c r="L665" s="475"/>
    </row>
    <row r="666" spans="1:12" x14ac:dyDescent="0.2">
      <c r="A666" s="305">
        <v>108</v>
      </c>
      <c r="B666" s="469" t="s">
        <v>1056</v>
      </c>
      <c r="C666" s="476" t="s">
        <v>4384</v>
      </c>
      <c r="D666" s="464"/>
      <c r="E666" s="471" t="s">
        <v>3612</v>
      </c>
      <c r="F666" s="466" t="s">
        <v>3609</v>
      </c>
      <c r="G666" s="750"/>
      <c r="H666" s="477">
        <v>45022</v>
      </c>
      <c r="I666" s="473">
        <f t="shared" si="22"/>
        <v>24171217.117117114</v>
      </c>
      <c r="J666" s="473">
        <f t="shared" si="23"/>
        <v>2658833.8828828824</v>
      </c>
      <c r="K666" s="474">
        <v>26830051</v>
      </c>
      <c r="L666" s="475"/>
    </row>
    <row r="667" spans="1:12" x14ac:dyDescent="0.2">
      <c r="A667" s="305">
        <v>109</v>
      </c>
      <c r="B667" s="485" t="s">
        <v>1057</v>
      </c>
      <c r="C667" s="476" t="s">
        <v>4385</v>
      </c>
      <c r="D667" s="464"/>
      <c r="E667" s="465" t="s">
        <v>3612</v>
      </c>
      <c r="F667" s="466" t="s">
        <v>3609</v>
      </c>
      <c r="G667" s="750"/>
      <c r="H667" s="477">
        <v>45024</v>
      </c>
      <c r="I667" s="488">
        <f t="shared" si="22"/>
        <v>37004382.882882878</v>
      </c>
      <c r="J667" s="488">
        <f t="shared" si="23"/>
        <v>4070482.1171171167</v>
      </c>
      <c r="K667" s="474">
        <v>41074865</v>
      </c>
      <c r="L667" s="475"/>
    </row>
    <row r="668" spans="1:12" x14ac:dyDescent="0.2">
      <c r="A668" s="305">
        <v>110</v>
      </c>
      <c r="B668" s="469" t="s">
        <v>1058</v>
      </c>
      <c r="C668" s="476" t="s">
        <v>4386</v>
      </c>
      <c r="D668" s="464"/>
      <c r="E668" s="465" t="s">
        <v>3612</v>
      </c>
      <c r="F668" s="466" t="s">
        <v>3609</v>
      </c>
      <c r="G668" s="750"/>
      <c r="H668" s="477">
        <v>45026</v>
      </c>
      <c r="I668" s="473">
        <f t="shared" si="22"/>
        <v>30803736.936936934</v>
      </c>
      <c r="J668" s="473">
        <f t="shared" si="23"/>
        <v>3388411.0630630627</v>
      </c>
      <c r="K668" s="474">
        <v>34192148</v>
      </c>
      <c r="L668" s="475"/>
    </row>
    <row r="669" spans="1:12" x14ac:dyDescent="0.2">
      <c r="A669" s="305">
        <v>111</v>
      </c>
      <c r="B669" s="485" t="s">
        <v>1059</v>
      </c>
      <c r="C669" s="476" t="s">
        <v>4405</v>
      </c>
      <c r="D669" s="464"/>
      <c r="E669" s="465" t="s">
        <v>3612</v>
      </c>
      <c r="F669" s="466" t="s">
        <v>3609</v>
      </c>
      <c r="G669" s="750"/>
      <c r="H669" s="477">
        <v>45028</v>
      </c>
      <c r="I669" s="488">
        <f t="shared" si="22"/>
        <v>36320578.378378376</v>
      </c>
      <c r="J669" s="488">
        <f t="shared" si="23"/>
        <v>3995263.6216216213</v>
      </c>
      <c r="K669" s="474">
        <v>40315842</v>
      </c>
      <c r="L669" s="475"/>
    </row>
    <row r="670" spans="1:12" x14ac:dyDescent="0.2">
      <c r="A670" s="305">
        <v>112</v>
      </c>
      <c r="B670" s="469" t="s">
        <v>1060</v>
      </c>
      <c r="C670" s="476" t="s">
        <v>4406</v>
      </c>
      <c r="D670" s="464"/>
      <c r="E670" s="465" t="s">
        <v>3612</v>
      </c>
      <c r="F670" s="466" t="s">
        <v>3609</v>
      </c>
      <c r="G670" s="750"/>
      <c r="H670" s="477">
        <v>45031</v>
      </c>
      <c r="I670" s="473">
        <f t="shared" si="22"/>
        <v>29444553.153153151</v>
      </c>
      <c r="J670" s="473">
        <f t="shared" si="23"/>
        <v>3238900.8468468469</v>
      </c>
      <c r="K670" s="474">
        <v>32683454</v>
      </c>
      <c r="L670" s="475"/>
    </row>
    <row r="671" spans="1:12" x14ac:dyDescent="0.2">
      <c r="A671" s="305">
        <v>113</v>
      </c>
      <c r="B671" s="485" t="s">
        <v>1061</v>
      </c>
      <c r="C671" s="476" t="s">
        <v>4407</v>
      </c>
      <c r="D671" s="464"/>
      <c r="E671" s="465" t="s">
        <v>3612</v>
      </c>
      <c r="F671" s="466" t="s">
        <v>3609</v>
      </c>
      <c r="G671" s="750"/>
      <c r="H671" s="477">
        <v>45034</v>
      </c>
      <c r="I671" s="488">
        <f t="shared" si="22"/>
        <v>38989582.882882878</v>
      </c>
      <c r="J671" s="488">
        <f t="shared" si="23"/>
        <v>4288854.1171171162</v>
      </c>
      <c r="K671" s="474">
        <v>43278437</v>
      </c>
      <c r="L671" s="475"/>
    </row>
    <row r="672" spans="1:12" x14ac:dyDescent="0.2">
      <c r="A672" s="305">
        <v>114</v>
      </c>
      <c r="B672" s="469" t="s">
        <v>1062</v>
      </c>
      <c r="C672" s="476" t="s">
        <v>4408</v>
      </c>
      <c r="D672" s="464"/>
      <c r="E672" s="465" t="s">
        <v>3612</v>
      </c>
      <c r="F672" s="466" t="s">
        <v>3609</v>
      </c>
      <c r="G672" s="750"/>
      <c r="H672" s="477">
        <v>45042</v>
      </c>
      <c r="I672" s="473">
        <f t="shared" si="22"/>
        <v>25813752.252252251</v>
      </c>
      <c r="J672" s="473">
        <f t="shared" si="23"/>
        <v>2839512.7477477477</v>
      </c>
      <c r="K672" s="474">
        <v>28653265</v>
      </c>
      <c r="L672" s="475"/>
    </row>
    <row r="673" spans="1:12" x14ac:dyDescent="0.2">
      <c r="A673" s="305">
        <v>115</v>
      </c>
      <c r="B673" s="485" t="s">
        <v>1063</v>
      </c>
      <c r="C673" s="476" t="s">
        <v>4409</v>
      </c>
      <c r="D673" s="464"/>
      <c r="E673" s="465" t="s">
        <v>3612</v>
      </c>
      <c r="F673" s="466" t="s">
        <v>3609</v>
      </c>
      <c r="G673" s="750"/>
      <c r="H673" s="477">
        <v>45045</v>
      </c>
      <c r="I673" s="488">
        <f t="shared" si="22"/>
        <v>33247499.999999996</v>
      </c>
      <c r="J673" s="488">
        <f t="shared" si="23"/>
        <v>3657224.9999999995</v>
      </c>
      <c r="K673" s="474">
        <v>36904725</v>
      </c>
      <c r="L673" s="475"/>
    </row>
    <row r="674" spans="1:12" ht="18" x14ac:dyDescent="0.25">
      <c r="B674" s="490" t="s">
        <v>283</v>
      </c>
      <c r="C674" s="491"/>
      <c r="D674" s="492"/>
      <c r="E674" s="493"/>
      <c r="F674" s="494"/>
      <c r="G674" s="514"/>
      <c r="H674" s="495"/>
      <c r="I674" s="496">
        <f>SUM(I559:I673)</f>
        <v>1268225301.8018017</v>
      </c>
      <c r="J674" s="496">
        <f>SUM(J559:J673)</f>
        <v>139504783.1981982</v>
      </c>
      <c r="K674" s="496">
        <f>SUM(K559:K673)</f>
        <v>1407730085</v>
      </c>
      <c r="L674" s="497"/>
    </row>
    <row r="675" spans="1:12" s="352" customFormat="1" ht="20.25" x14ac:dyDescent="0.3">
      <c r="A675" s="305"/>
      <c r="B675" s="498" t="s">
        <v>102</v>
      </c>
      <c r="C675" s="486"/>
      <c r="D675" s="487"/>
      <c r="E675" s="487"/>
      <c r="F675" s="487"/>
      <c r="G675" s="487"/>
      <c r="H675" s="499"/>
      <c r="I675" s="500"/>
      <c r="J675" s="500"/>
      <c r="K675" s="501"/>
      <c r="L675" s="502"/>
    </row>
    <row r="676" spans="1:12" s="520" customFormat="1" x14ac:dyDescent="0.2">
      <c r="A676" s="517">
        <v>1</v>
      </c>
      <c r="B676" s="485" t="s">
        <v>1064</v>
      </c>
      <c r="C676" s="486" t="s">
        <v>4867</v>
      </c>
      <c r="D676" s="464" t="s">
        <v>2783</v>
      </c>
      <c r="E676" s="465" t="s">
        <v>2784</v>
      </c>
      <c r="F676" s="466" t="s">
        <v>2785</v>
      </c>
      <c r="G676" s="518" t="s">
        <v>3774</v>
      </c>
      <c r="H676" s="519">
        <v>45049</v>
      </c>
      <c r="I676" s="488">
        <f>K676/1.11</f>
        <v>4937837.8378378376</v>
      </c>
      <c r="J676" s="488">
        <f>I676*11%</f>
        <v>543162.16216216213</v>
      </c>
      <c r="K676" s="489">
        <v>5481000</v>
      </c>
      <c r="L676" s="547"/>
    </row>
    <row r="677" spans="1:12" s="520" customFormat="1" x14ac:dyDescent="0.2">
      <c r="A677" s="517">
        <v>2</v>
      </c>
      <c r="B677" s="469" t="s">
        <v>1065</v>
      </c>
      <c r="C677" s="470" t="s">
        <v>4868</v>
      </c>
      <c r="D677" s="464" t="s">
        <v>2758</v>
      </c>
      <c r="E677" s="708" t="s">
        <v>2759</v>
      </c>
      <c r="F677" s="466" t="s">
        <v>2755</v>
      </c>
      <c r="G677" s="518" t="s">
        <v>3775</v>
      </c>
      <c r="H677" s="519">
        <v>45049</v>
      </c>
      <c r="I677" s="473">
        <f>K677/1.11</f>
        <v>1140864.8648648649</v>
      </c>
      <c r="J677" s="473">
        <f>I677*11%</f>
        <v>125495.13513513513</v>
      </c>
      <c r="K677" s="474">
        <v>1266360</v>
      </c>
      <c r="L677" s="475"/>
    </row>
    <row r="678" spans="1:12" s="520" customFormat="1" x14ac:dyDescent="0.2">
      <c r="A678" s="517">
        <v>3</v>
      </c>
      <c r="B678" s="485" t="s">
        <v>1066</v>
      </c>
      <c r="C678" s="476" t="s">
        <v>4869</v>
      </c>
      <c r="D678" s="464" t="s">
        <v>2779</v>
      </c>
      <c r="E678" s="471" t="s">
        <v>2780</v>
      </c>
      <c r="F678" s="471" t="s">
        <v>2755</v>
      </c>
      <c r="G678" s="518" t="s">
        <v>3776</v>
      </c>
      <c r="H678" s="519">
        <v>45059</v>
      </c>
      <c r="I678" s="488">
        <f t="shared" ref="I678:I741" si="24">K678/1.11</f>
        <v>4616756.7567567565</v>
      </c>
      <c r="J678" s="488">
        <f t="shared" ref="J678:J741" si="25">I678*11%</f>
        <v>507843.2432432432</v>
      </c>
      <c r="K678" s="474">
        <v>5124600</v>
      </c>
      <c r="L678" s="475"/>
    </row>
    <row r="679" spans="1:12" s="520" customFormat="1" x14ac:dyDescent="0.2">
      <c r="A679" s="517">
        <v>4</v>
      </c>
      <c r="B679" s="469" t="s">
        <v>1067</v>
      </c>
      <c r="C679" s="476" t="s">
        <v>4870</v>
      </c>
      <c r="D679" s="464" t="s">
        <v>2783</v>
      </c>
      <c r="E679" s="465" t="s">
        <v>2784</v>
      </c>
      <c r="F679" s="466" t="s">
        <v>2785</v>
      </c>
      <c r="G679" s="518" t="s">
        <v>3777</v>
      </c>
      <c r="H679" s="519">
        <v>45051</v>
      </c>
      <c r="I679" s="473">
        <f t="shared" si="24"/>
        <v>22135135.135135133</v>
      </c>
      <c r="J679" s="473">
        <f t="shared" si="25"/>
        <v>2434864.8648648649</v>
      </c>
      <c r="K679" s="474">
        <v>24570000</v>
      </c>
      <c r="L679" s="475"/>
    </row>
    <row r="680" spans="1:12" s="520" customFormat="1" x14ac:dyDescent="0.2">
      <c r="A680" s="517">
        <v>5</v>
      </c>
      <c r="B680" s="485" t="s">
        <v>1068</v>
      </c>
      <c r="C680" s="476" t="s">
        <v>4871</v>
      </c>
      <c r="D680" s="464" t="s">
        <v>2849</v>
      </c>
      <c r="E680" s="471" t="s">
        <v>2850</v>
      </c>
      <c r="F680" s="471" t="s">
        <v>2851</v>
      </c>
      <c r="G680" s="518" t="s">
        <v>3778</v>
      </c>
      <c r="H680" s="519">
        <v>45051</v>
      </c>
      <c r="I680" s="488">
        <f t="shared" si="24"/>
        <v>10224000</v>
      </c>
      <c r="J680" s="488">
        <f t="shared" si="25"/>
        <v>1124640</v>
      </c>
      <c r="K680" s="474">
        <v>11348640</v>
      </c>
      <c r="L680" s="475"/>
    </row>
    <row r="681" spans="1:12" s="520" customFormat="1" x14ac:dyDescent="0.2">
      <c r="A681" s="517">
        <v>6</v>
      </c>
      <c r="B681" s="469" t="s">
        <v>1069</v>
      </c>
      <c r="C681" s="476" t="s">
        <v>4872</v>
      </c>
      <c r="D681" s="725" t="s">
        <v>3302</v>
      </c>
      <c r="E681" s="708" t="s">
        <v>3303</v>
      </c>
      <c r="F681" s="727" t="s">
        <v>2873</v>
      </c>
      <c r="G681" s="518" t="s">
        <v>3779</v>
      </c>
      <c r="H681" s="519">
        <v>45054</v>
      </c>
      <c r="I681" s="473">
        <f t="shared" si="24"/>
        <v>2580324.3243243243</v>
      </c>
      <c r="J681" s="473">
        <f t="shared" si="25"/>
        <v>283835.67567567568</v>
      </c>
      <c r="K681" s="474">
        <v>2864160</v>
      </c>
      <c r="L681" s="475"/>
    </row>
    <row r="682" spans="1:12" s="520" customFormat="1" x14ac:dyDescent="0.2">
      <c r="A682" s="517">
        <v>7</v>
      </c>
      <c r="B682" s="485" t="s">
        <v>1070</v>
      </c>
      <c r="C682" s="476" t="s">
        <v>4873</v>
      </c>
      <c r="D682" s="464" t="s">
        <v>2849</v>
      </c>
      <c r="E682" s="471" t="s">
        <v>2850</v>
      </c>
      <c r="F682" s="471" t="s">
        <v>2851</v>
      </c>
      <c r="G682" s="518" t="s">
        <v>3780</v>
      </c>
      <c r="H682" s="519">
        <v>45051</v>
      </c>
      <c r="I682" s="488">
        <f t="shared" si="24"/>
        <v>3150216.2162162159</v>
      </c>
      <c r="J682" s="488">
        <f t="shared" si="25"/>
        <v>346523.78378378373</v>
      </c>
      <c r="K682" s="474">
        <v>3496740</v>
      </c>
      <c r="L682" s="475"/>
    </row>
    <row r="683" spans="1:12" s="520" customFormat="1" x14ac:dyDescent="0.2">
      <c r="A683" s="517">
        <v>8</v>
      </c>
      <c r="B683" s="469" t="s">
        <v>1071</v>
      </c>
      <c r="C683" s="476" t="s">
        <v>4874</v>
      </c>
      <c r="D683" s="464" t="s">
        <v>2758</v>
      </c>
      <c r="E683" s="708" t="s">
        <v>2759</v>
      </c>
      <c r="F683" s="466" t="s">
        <v>2755</v>
      </c>
      <c r="G683" s="518" t="s">
        <v>3781</v>
      </c>
      <c r="H683" s="519">
        <v>45054</v>
      </c>
      <c r="I683" s="473">
        <f t="shared" si="24"/>
        <v>9089513.5135135129</v>
      </c>
      <c r="J683" s="473">
        <f t="shared" si="25"/>
        <v>999846.48648648639</v>
      </c>
      <c r="K683" s="474">
        <v>10089360</v>
      </c>
      <c r="L683" s="475"/>
    </row>
    <row r="684" spans="1:12" s="520" customFormat="1" x14ac:dyDescent="0.2">
      <c r="A684" s="517">
        <v>9</v>
      </c>
      <c r="B684" s="485" t="s">
        <v>1072</v>
      </c>
      <c r="C684" s="476" t="s">
        <v>4875</v>
      </c>
      <c r="D684" s="464" t="s">
        <v>2856</v>
      </c>
      <c r="E684" s="465" t="s">
        <v>2857</v>
      </c>
      <c r="F684" s="466" t="s">
        <v>2858</v>
      </c>
      <c r="G684" s="518" t="s">
        <v>3782</v>
      </c>
      <c r="H684" s="519">
        <v>45054</v>
      </c>
      <c r="I684" s="488">
        <f t="shared" si="24"/>
        <v>2154162.1621621619</v>
      </c>
      <c r="J684" s="488">
        <f t="shared" si="25"/>
        <v>236957.83783783781</v>
      </c>
      <c r="K684" s="474">
        <v>2391120</v>
      </c>
      <c r="L684" s="475"/>
    </row>
    <row r="685" spans="1:12" s="520" customFormat="1" ht="14.25" customHeight="1" x14ac:dyDescent="0.2">
      <c r="A685" s="517">
        <v>10</v>
      </c>
      <c r="B685" s="469" t="s">
        <v>1073</v>
      </c>
      <c r="C685" s="476" t="s">
        <v>4876</v>
      </c>
      <c r="D685" s="464" t="s">
        <v>2779</v>
      </c>
      <c r="E685" s="471" t="s">
        <v>2780</v>
      </c>
      <c r="F685" s="471" t="s">
        <v>2755</v>
      </c>
      <c r="G685" s="518" t="s">
        <v>3783</v>
      </c>
      <c r="H685" s="519">
        <v>45054</v>
      </c>
      <c r="I685" s="473">
        <f t="shared" si="24"/>
        <v>630486.48648648639</v>
      </c>
      <c r="J685" s="473">
        <f t="shared" si="25"/>
        <v>69353.513513513506</v>
      </c>
      <c r="K685" s="474">
        <v>699840</v>
      </c>
      <c r="L685" s="475"/>
    </row>
    <row r="686" spans="1:12" s="520" customFormat="1" ht="14.25" customHeight="1" x14ac:dyDescent="0.2">
      <c r="A686" s="517">
        <v>11</v>
      </c>
      <c r="B686" s="485" t="s">
        <v>1074</v>
      </c>
      <c r="C686" s="476" t="s">
        <v>4877</v>
      </c>
      <c r="D686" s="511" t="s">
        <v>2773</v>
      </c>
      <c r="E686" s="465" t="s">
        <v>2774</v>
      </c>
      <c r="F686" s="510" t="s">
        <v>2755</v>
      </c>
      <c r="G686" s="518" t="s">
        <v>3784</v>
      </c>
      <c r="H686" s="519">
        <v>45054</v>
      </c>
      <c r="I686" s="488">
        <f t="shared" si="24"/>
        <v>4512859.4594594594</v>
      </c>
      <c r="J686" s="488">
        <f t="shared" si="25"/>
        <v>496414.54054054053</v>
      </c>
      <c r="K686" s="474">
        <v>5009274</v>
      </c>
      <c r="L686" s="475"/>
    </row>
    <row r="687" spans="1:12" s="520" customFormat="1" x14ac:dyDescent="0.2">
      <c r="A687" s="517">
        <v>12</v>
      </c>
      <c r="B687" s="469" t="s">
        <v>1075</v>
      </c>
      <c r="C687" s="476" t="s">
        <v>4878</v>
      </c>
      <c r="D687" s="464" t="s">
        <v>2783</v>
      </c>
      <c r="E687" s="465" t="s">
        <v>2784</v>
      </c>
      <c r="F687" s="466" t="s">
        <v>2785</v>
      </c>
      <c r="G687" s="518" t="s">
        <v>3785</v>
      </c>
      <c r="H687" s="519">
        <v>45056</v>
      </c>
      <c r="I687" s="473">
        <f t="shared" si="24"/>
        <v>2688063.0630630627</v>
      </c>
      <c r="J687" s="473">
        <f t="shared" si="25"/>
        <v>295686.93693693692</v>
      </c>
      <c r="K687" s="474">
        <v>2983750</v>
      </c>
      <c r="L687" s="475"/>
    </row>
    <row r="688" spans="1:12" s="520" customFormat="1" ht="14.25" customHeight="1" x14ac:dyDescent="0.2">
      <c r="A688" s="517">
        <v>13</v>
      </c>
      <c r="B688" s="485" t="s">
        <v>1076</v>
      </c>
      <c r="C688" s="476" t="s">
        <v>4879</v>
      </c>
      <c r="D688" s="464" t="s">
        <v>2758</v>
      </c>
      <c r="E688" s="708" t="s">
        <v>2759</v>
      </c>
      <c r="F688" s="466" t="s">
        <v>2755</v>
      </c>
      <c r="G688" s="518" t="s">
        <v>3786</v>
      </c>
      <c r="H688" s="519">
        <v>45057</v>
      </c>
      <c r="I688" s="488">
        <f t="shared" si="24"/>
        <v>11614378.378378378</v>
      </c>
      <c r="J688" s="488">
        <f t="shared" si="25"/>
        <v>1277581.6216216215</v>
      </c>
      <c r="K688" s="474">
        <v>12891960</v>
      </c>
      <c r="L688" s="475"/>
    </row>
    <row r="689" spans="1:12" s="520" customFormat="1" ht="14.25" customHeight="1" x14ac:dyDescent="0.2">
      <c r="A689" s="517">
        <v>14</v>
      </c>
      <c r="B689" s="469" t="s">
        <v>1077</v>
      </c>
      <c r="C689" s="476" t="s">
        <v>4880</v>
      </c>
      <c r="D689" s="464" t="s">
        <v>2783</v>
      </c>
      <c r="E689" s="465" t="s">
        <v>2784</v>
      </c>
      <c r="F689" s="466" t="s">
        <v>2785</v>
      </c>
      <c r="G689" s="518" t="s">
        <v>3787</v>
      </c>
      <c r="H689" s="519">
        <v>45057</v>
      </c>
      <c r="I689" s="473">
        <f t="shared" si="24"/>
        <v>6348243.2432432426</v>
      </c>
      <c r="J689" s="473">
        <f t="shared" si="25"/>
        <v>698306.75675675669</v>
      </c>
      <c r="K689" s="474">
        <v>7046550</v>
      </c>
      <c r="L689" s="475"/>
    </row>
    <row r="690" spans="1:12" s="520" customFormat="1" x14ac:dyDescent="0.2">
      <c r="A690" s="517">
        <v>15</v>
      </c>
      <c r="B690" s="485" t="s">
        <v>1078</v>
      </c>
      <c r="C690" s="476" t="s">
        <v>4881</v>
      </c>
      <c r="D690" s="487" t="s">
        <v>2753</v>
      </c>
      <c r="E690" s="503" t="s">
        <v>2754</v>
      </c>
      <c r="F690" s="504" t="s">
        <v>2755</v>
      </c>
      <c r="G690" s="518" t="s">
        <v>3788</v>
      </c>
      <c r="H690" s="519">
        <v>45056</v>
      </c>
      <c r="I690" s="488">
        <f t="shared" si="24"/>
        <v>254504.50450450447</v>
      </c>
      <c r="J690" s="488">
        <f t="shared" si="25"/>
        <v>27995.495495495492</v>
      </c>
      <c r="K690" s="474">
        <v>282500</v>
      </c>
      <c r="L690" s="475"/>
    </row>
    <row r="691" spans="1:12" s="520" customFormat="1" x14ac:dyDescent="0.2">
      <c r="A691" s="517">
        <v>16</v>
      </c>
      <c r="B691" s="469" t="s">
        <v>1079</v>
      </c>
      <c r="C691" s="476" t="s">
        <v>4882</v>
      </c>
      <c r="D691" s="464" t="s">
        <v>4448</v>
      </c>
      <c r="E691" s="465" t="s">
        <v>4446</v>
      </c>
      <c r="F691" s="466" t="s">
        <v>4447</v>
      </c>
      <c r="G691" s="518" t="s">
        <v>3789</v>
      </c>
      <c r="H691" s="519">
        <v>45058</v>
      </c>
      <c r="I691" s="473">
        <f t="shared" si="24"/>
        <v>3361305.405405405</v>
      </c>
      <c r="J691" s="473">
        <f t="shared" si="25"/>
        <v>369743.59459459456</v>
      </c>
      <c r="K691" s="474">
        <v>3731049</v>
      </c>
      <c r="L691" s="475"/>
    </row>
    <row r="692" spans="1:12" s="520" customFormat="1" x14ac:dyDescent="0.2">
      <c r="A692" s="517">
        <v>17</v>
      </c>
      <c r="B692" s="485" t="s">
        <v>1080</v>
      </c>
      <c r="C692" s="476" t="s">
        <v>4883</v>
      </c>
      <c r="D692" s="464" t="s">
        <v>2821</v>
      </c>
      <c r="E692" s="471" t="s">
        <v>2822</v>
      </c>
      <c r="F692" s="471" t="s">
        <v>2823</v>
      </c>
      <c r="G692" s="518" t="s">
        <v>3790</v>
      </c>
      <c r="H692" s="519">
        <v>45058</v>
      </c>
      <c r="I692" s="488">
        <f t="shared" si="24"/>
        <v>4032094.5945945941</v>
      </c>
      <c r="J692" s="488">
        <f t="shared" si="25"/>
        <v>443530.40540540533</v>
      </c>
      <c r="K692" s="474">
        <v>4475625</v>
      </c>
      <c r="L692" s="475"/>
    </row>
    <row r="693" spans="1:12" s="520" customFormat="1" x14ac:dyDescent="0.2">
      <c r="A693" s="517">
        <v>18</v>
      </c>
      <c r="B693" s="469" t="s">
        <v>1081</v>
      </c>
      <c r="C693" s="476" t="s">
        <v>4884</v>
      </c>
      <c r="D693" s="464" t="s">
        <v>2758</v>
      </c>
      <c r="E693" s="708" t="s">
        <v>2759</v>
      </c>
      <c r="F693" s="466" t="s">
        <v>2755</v>
      </c>
      <c r="G693" s="518" t="s">
        <v>3791</v>
      </c>
      <c r="H693" s="519">
        <v>45058</v>
      </c>
      <c r="I693" s="473">
        <f t="shared" si="24"/>
        <v>23028793.69369369</v>
      </c>
      <c r="J693" s="473">
        <f t="shared" si="25"/>
        <v>2533167.3063063058</v>
      </c>
      <c r="K693" s="474">
        <v>25561961</v>
      </c>
      <c r="L693" s="475"/>
    </row>
    <row r="694" spans="1:12" s="520" customFormat="1" x14ac:dyDescent="0.2">
      <c r="A694" s="517">
        <v>19</v>
      </c>
      <c r="B694" s="485" t="s">
        <v>1082</v>
      </c>
      <c r="C694" s="476" t="s">
        <v>4885</v>
      </c>
      <c r="D694" s="464" t="s">
        <v>2783</v>
      </c>
      <c r="E694" s="465" t="s">
        <v>2784</v>
      </c>
      <c r="F694" s="466" t="s">
        <v>2785</v>
      </c>
      <c r="G694" s="518" t="s">
        <v>3792</v>
      </c>
      <c r="H694" s="477">
        <v>45058</v>
      </c>
      <c r="I694" s="488">
        <f t="shared" si="24"/>
        <v>53436328.828828827</v>
      </c>
      <c r="J694" s="488">
        <f t="shared" si="25"/>
        <v>5877996.1711711707</v>
      </c>
      <c r="K694" s="474">
        <v>59314325</v>
      </c>
      <c r="L694" s="475"/>
    </row>
    <row r="695" spans="1:12" s="520" customFormat="1" x14ac:dyDescent="0.2">
      <c r="A695" s="517">
        <v>20</v>
      </c>
      <c r="B695" s="469" t="s">
        <v>1083</v>
      </c>
      <c r="C695" s="476" t="s">
        <v>4886</v>
      </c>
      <c r="D695" s="464" t="s">
        <v>2758</v>
      </c>
      <c r="E695" s="708" t="s">
        <v>2759</v>
      </c>
      <c r="F695" s="466" t="s">
        <v>2755</v>
      </c>
      <c r="G695" s="518" t="s">
        <v>3793</v>
      </c>
      <c r="H695" s="477">
        <v>45059</v>
      </c>
      <c r="I695" s="473">
        <f t="shared" si="24"/>
        <v>14494594.594594594</v>
      </c>
      <c r="J695" s="473">
        <f t="shared" si="25"/>
        <v>1594405.4054054054</v>
      </c>
      <c r="K695" s="474">
        <v>16089000</v>
      </c>
      <c r="L695" s="475"/>
    </row>
    <row r="696" spans="1:12" s="520" customFormat="1" x14ac:dyDescent="0.2">
      <c r="A696" s="517">
        <v>21</v>
      </c>
      <c r="B696" s="485" t="s">
        <v>1084</v>
      </c>
      <c r="C696" s="476" t="s">
        <v>4887</v>
      </c>
      <c r="D696" s="464" t="s">
        <v>2821</v>
      </c>
      <c r="E696" s="471" t="s">
        <v>2822</v>
      </c>
      <c r="F696" s="471" t="s">
        <v>2823</v>
      </c>
      <c r="G696" s="518" t="s">
        <v>3794</v>
      </c>
      <c r="H696" s="477">
        <v>45059</v>
      </c>
      <c r="I696" s="488">
        <f t="shared" si="24"/>
        <v>13110810.81081081</v>
      </c>
      <c r="J696" s="488">
        <f t="shared" si="25"/>
        <v>1442189.1891891891</v>
      </c>
      <c r="K696" s="474">
        <v>14553000</v>
      </c>
      <c r="L696" s="475"/>
    </row>
    <row r="697" spans="1:12" s="520" customFormat="1" x14ac:dyDescent="0.2">
      <c r="A697" s="517">
        <v>22</v>
      </c>
      <c r="B697" s="469" t="s">
        <v>1085</v>
      </c>
      <c r="C697" s="476" t="s">
        <v>4888</v>
      </c>
      <c r="D697" s="464" t="s">
        <v>2783</v>
      </c>
      <c r="E697" s="465" t="s">
        <v>2784</v>
      </c>
      <c r="F697" s="466" t="s">
        <v>2785</v>
      </c>
      <c r="G697" s="518" t="s">
        <v>3795</v>
      </c>
      <c r="H697" s="477">
        <v>45058</v>
      </c>
      <c r="I697" s="473">
        <f t="shared" si="24"/>
        <v>34547837.837837838</v>
      </c>
      <c r="J697" s="473">
        <f t="shared" si="25"/>
        <v>3800262.1621621624</v>
      </c>
      <c r="K697" s="474">
        <v>38348100</v>
      </c>
      <c r="L697" s="475"/>
    </row>
    <row r="698" spans="1:12" s="520" customFormat="1" x14ac:dyDescent="0.2">
      <c r="A698" s="517">
        <v>23</v>
      </c>
      <c r="B698" s="485" t="s">
        <v>1086</v>
      </c>
      <c r="C698" s="476" t="s">
        <v>4889</v>
      </c>
      <c r="D698" s="464" t="s">
        <v>2783</v>
      </c>
      <c r="E698" s="465" t="s">
        <v>2784</v>
      </c>
      <c r="F698" s="466" t="s">
        <v>2785</v>
      </c>
      <c r="G698" s="518" t="s">
        <v>3796</v>
      </c>
      <c r="H698" s="477">
        <v>45061</v>
      </c>
      <c r="I698" s="488">
        <f t="shared" si="24"/>
        <v>21794594.594594594</v>
      </c>
      <c r="J698" s="488">
        <f t="shared" si="25"/>
        <v>2397405.4054054054</v>
      </c>
      <c r="K698" s="474">
        <v>24192000</v>
      </c>
      <c r="L698" s="475"/>
    </row>
    <row r="699" spans="1:12" s="520" customFormat="1" x14ac:dyDescent="0.2">
      <c r="A699" s="517">
        <v>24</v>
      </c>
      <c r="B699" s="469" t="s">
        <v>1087</v>
      </c>
      <c r="C699" s="476" t="s">
        <v>4890</v>
      </c>
      <c r="D699" s="464" t="s">
        <v>2783</v>
      </c>
      <c r="E699" s="465" t="s">
        <v>2784</v>
      </c>
      <c r="F699" s="466" t="s">
        <v>2785</v>
      </c>
      <c r="G699" s="518" t="s">
        <v>3797</v>
      </c>
      <c r="H699" s="477">
        <v>45061</v>
      </c>
      <c r="I699" s="473">
        <f t="shared" si="24"/>
        <v>10332094.594594594</v>
      </c>
      <c r="J699" s="473">
        <f t="shared" si="25"/>
        <v>1136530.4054054054</v>
      </c>
      <c r="K699" s="474">
        <v>11468625</v>
      </c>
      <c r="L699" s="475"/>
    </row>
    <row r="700" spans="1:12" s="520" customFormat="1" x14ac:dyDescent="0.2">
      <c r="A700" s="517">
        <v>25</v>
      </c>
      <c r="B700" s="485" t="s">
        <v>1088</v>
      </c>
      <c r="C700" s="476" t="s">
        <v>4891</v>
      </c>
      <c r="D700" s="464" t="s">
        <v>2821</v>
      </c>
      <c r="E700" s="471" t="s">
        <v>2822</v>
      </c>
      <c r="F700" s="471" t="s">
        <v>2823</v>
      </c>
      <c r="G700" s="518" t="s">
        <v>3798</v>
      </c>
      <c r="H700" s="477">
        <v>45062</v>
      </c>
      <c r="I700" s="488">
        <f t="shared" si="24"/>
        <v>11260540.540540539</v>
      </c>
      <c r="J700" s="488">
        <f t="shared" si="25"/>
        <v>1238659.4594594592</v>
      </c>
      <c r="K700" s="474">
        <v>12499200</v>
      </c>
      <c r="L700" s="475"/>
    </row>
    <row r="701" spans="1:12" s="521" customFormat="1" x14ac:dyDescent="0.2">
      <c r="A701" s="517">
        <v>26</v>
      </c>
      <c r="B701" s="469" t="s">
        <v>1089</v>
      </c>
      <c r="C701" s="476" t="s">
        <v>4892</v>
      </c>
      <c r="D701" s="464" t="s">
        <v>2849</v>
      </c>
      <c r="E701" s="471" t="s">
        <v>2850</v>
      </c>
      <c r="F701" s="471" t="s">
        <v>2851</v>
      </c>
      <c r="G701" s="518" t="s">
        <v>3799</v>
      </c>
      <c r="H701" s="477">
        <v>45062</v>
      </c>
      <c r="I701" s="473">
        <f t="shared" si="24"/>
        <v>1873135.1351351349</v>
      </c>
      <c r="J701" s="473">
        <f t="shared" si="25"/>
        <v>206044.86486486485</v>
      </c>
      <c r="K701" s="474">
        <v>2079180</v>
      </c>
      <c r="L701" s="475"/>
    </row>
    <row r="702" spans="1:12" s="521" customFormat="1" x14ac:dyDescent="0.2">
      <c r="A702" s="517">
        <v>27</v>
      </c>
      <c r="B702" s="485" t="s">
        <v>1090</v>
      </c>
      <c r="C702" s="476" t="s">
        <v>4893</v>
      </c>
      <c r="D702" s="464" t="s">
        <v>2758</v>
      </c>
      <c r="E702" s="708" t="s">
        <v>2759</v>
      </c>
      <c r="F702" s="466" t="s">
        <v>2755</v>
      </c>
      <c r="G702" s="518" t="s">
        <v>3800</v>
      </c>
      <c r="H702" s="477">
        <v>45063</v>
      </c>
      <c r="I702" s="488">
        <f t="shared" si="24"/>
        <v>26879524.324324321</v>
      </c>
      <c r="J702" s="488">
        <f t="shared" si="25"/>
        <v>2956747.6756756753</v>
      </c>
      <c r="K702" s="474">
        <v>29836272</v>
      </c>
      <c r="L702" s="475"/>
    </row>
    <row r="703" spans="1:12" s="521" customFormat="1" x14ac:dyDescent="0.2">
      <c r="A703" s="517">
        <v>28</v>
      </c>
      <c r="B703" s="469" t="s">
        <v>1091</v>
      </c>
      <c r="C703" s="476" t="s">
        <v>4894</v>
      </c>
      <c r="D703" s="464" t="s">
        <v>2779</v>
      </c>
      <c r="E703" s="471" t="s">
        <v>2780</v>
      </c>
      <c r="F703" s="471" t="s">
        <v>2755</v>
      </c>
      <c r="G703" s="518" t="s">
        <v>3801</v>
      </c>
      <c r="H703" s="477">
        <v>45063</v>
      </c>
      <c r="I703" s="473">
        <f t="shared" si="24"/>
        <v>697297.29729729728</v>
      </c>
      <c r="J703" s="473">
        <f t="shared" si="25"/>
        <v>76702.702702702707</v>
      </c>
      <c r="K703" s="474">
        <v>774000</v>
      </c>
      <c r="L703" s="475"/>
    </row>
    <row r="704" spans="1:12" s="521" customFormat="1" x14ac:dyDescent="0.2">
      <c r="A704" s="517">
        <v>29</v>
      </c>
      <c r="B704" s="485" t="s">
        <v>1092</v>
      </c>
      <c r="C704" s="476" t="s">
        <v>4895</v>
      </c>
      <c r="D704" s="464" t="s">
        <v>2783</v>
      </c>
      <c r="E704" s="465" t="s">
        <v>2784</v>
      </c>
      <c r="F704" s="466" t="s">
        <v>2785</v>
      </c>
      <c r="G704" s="518" t="s">
        <v>3802</v>
      </c>
      <c r="H704" s="477">
        <v>45065</v>
      </c>
      <c r="I704" s="488">
        <f t="shared" si="24"/>
        <v>3269189.1891891891</v>
      </c>
      <c r="J704" s="488">
        <f t="shared" si="25"/>
        <v>359610.81081081083</v>
      </c>
      <c r="K704" s="474">
        <v>3628800</v>
      </c>
      <c r="L704" s="475"/>
    </row>
    <row r="705" spans="1:12" s="521" customFormat="1" x14ac:dyDescent="0.2">
      <c r="A705" s="517">
        <v>30</v>
      </c>
      <c r="B705" s="469" t="s">
        <v>1093</v>
      </c>
      <c r="C705" s="476" t="s">
        <v>4896</v>
      </c>
      <c r="D705" s="464" t="s">
        <v>2758</v>
      </c>
      <c r="E705" s="708" t="s">
        <v>2759</v>
      </c>
      <c r="F705" s="466" t="s">
        <v>2755</v>
      </c>
      <c r="G705" s="518" t="s">
        <v>3803</v>
      </c>
      <c r="H705" s="477">
        <v>45065</v>
      </c>
      <c r="I705" s="473">
        <f t="shared" si="24"/>
        <v>8360108.108108107</v>
      </c>
      <c r="J705" s="473">
        <f t="shared" si="25"/>
        <v>919611.89189189172</v>
      </c>
      <c r="K705" s="474">
        <v>9279720</v>
      </c>
      <c r="L705" s="475"/>
    </row>
    <row r="706" spans="1:12" s="521" customFormat="1" x14ac:dyDescent="0.2">
      <c r="A706" s="517">
        <v>31</v>
      </c>
      <c r="B706" s="485" t="s">
        <v>1094</v>
      </c>
      <c r="C706" s="476" t="s">
        <v>4897</v>
      </c>
      <c r="D706" s="464" t="s">
        <v>2849</v>
      </c>
      <c r="E706" s="471" t="s">
        <v>2850</v>
      </c>
      <c r="F706" s="471" t="s">
        <v>2851</v>
      </c>
      <c r="G706" s="518" t="s">
        <v>3804</v>
      </c>
      <c r="H706" s="477">
        <v>45065</v>
      </c>
      <c r="I706" s="488">
        <f t="shared" si="24"/>
        <v>2284783.7837837837</v>
      </c>
      <c r="J706" s="488">
        <f t="shared" si="25"/>
        <v>251326.21621621621</v>
      </c>
      <c r="K706" s="474">
        <v>2536110</v>
      </c>
      <c r="L706" s="475"/>
    </row>
    <row r="707" spans="1:12" s="521" customFormat="1" x14ac:dyDescent="0.2">
      <c r="A707" s="517">
        <v>32</v>
      </c>
      <c r="B707" s="469" t="s">
        <v>1095</v>
      </c>
      <c r="C707" s="476" t="s">
        <v>4898</v>
      </c>
      <c r="D707" s="464" t="s">
        <v>2821</v>
      </c>
      <c r="E707" s="471" t="s">
        <v>2822</v>
      </c>
      <c r="F707" s="471" t="s">
        <v>2823</v>
      </c>
      <c r="G707" s="518" t="s">
        <v>3805</v>
      </c>
      <c r="H707" s="477">
        <v>45065</v>
      </c>
      <c r="I707" s="473">
        <f t="shared" si="24"/>
        <v>4415675.6756756753</v>
      </c>
      <c r="J707" s="473">
        <f t="shared" si="25"/>
        <v>485724.32432432426</v>
      </c>
      <c r="K707" s="474">
        <v>4901400</v>
      </c>
      <c r="L707" s="475"/>
    </row>
    <row r="708" spans="1:12" s="521" customFormat="1" x14ac:dyDescent="0.2">
      <c r="A708" s="517">
        <v>33</v>
      </c>
      <c r="B708" s="485" t="s">
        <v>1096</v>
      </c>
      <c r="C708" s="476" t="s">
        <v>4899</v>
      </c>
      <c r="D708" s="464" t="s">
        <v>2821</v>
      </c>
      <c r="E708" s="471" t="s">
        <v>2822</v>
      </c>
      <c r="F708" s="471" t="s">
        <v>2823</v>
      </c>
      <c r="G708" s="518" t="s">
        <v>3806</v>
      </c>
      <c r="H708" s="477">
        <v>45066</v>
      </c>
      <c r="I708" s="488">
        <f t="shared" si="24"/>
        <v>10897297.297297297</v>
      </c>
      <c r="J708" s="488">
        <f t="shared" si="25"/>
        <v>1198702.7027027027</v>
      </c>
      <c r="K708" s="474">
        <v>12096000</v>
      </c>
      <c r="L708" s="478"/>
    </row>
    <row r="709" spans="1:12" s="521" customFormat="1" x14ac:dyDescent="0.2">
      <c r="A709" s="517">
        <v>34</v>
      </c>
      <c r="B709" s="469" t="s">
        <v>1097</v>
      </c>
      <c r="C709" s="476" t="s">
        <v>4900</v>
      </c>
      <c r="D709" s="464" t="s">
        <v>2806</v>
      </c>
      <c r="E709" s="465" t="s">
        <v>2807</v>
      </c>
      <c r="F709" s="466" t="s">
        <v>2808</v>
      </c>
      <c r="G709" s="518" t="s">
        <v>3807</v>
      </c>
      <c r="H709" s="477">
        <v>45068</v>
      </c>
      <c r="I709" s="473">
        <f t="shared" si="24"/>
        <v>4903783.7837837832</v>
      </c>
      <c r="J709" s="473">
        <f t="shared" si="25"/>
        <v>539416.21621621621</v>
      </c>
      <c r="K709" s="474">
        <v>5443200</v>
      </c>
      <c r="L709" s="475"/>
    </row>
    <row r="710" spans="1:12" s="521" customFormat="1" x14ac:dyDescent="0.2">
      <c r="A710" s="517">
        <v>35</v>
      </c>
      <c r="B710" s="485" t="s">
        <v>1098</v>
      </c>
      <c r="C710" s="476" t="s">
        <v>4901</v>
      </c>
      <c r="D710" s="464" t="s">
        <v>2821</v>
      </c>
      <c r="E710" s="471" t="s">
        <v>2822</v>
      </c>
      <c r="F710" s="471" t="s">
        <v>2823</v>
      </c>
      <c r="G710" s="518" t="s">
        <v>3808</v>
      </c>
      <c r="H710" s="477">
        <v>45069</v>
      </c>
      <c r="I710" s="488">
        <f t="shared" si="24"/>
        <v>10269819.819819819</v>
      </c>
      <c r="J710" s="488">
        <f t="shared" si="25"/>
        <v>1129680.1801801801</v>
      </c>
      <c r="K710" s="474">
        <v>11399500</v>
      </c>
      <c r="L710" s="475"/>
    </row>
    <row r="711" spans="1:12" s="521" customFormat="1" x14ac:dyDescent="0.2">
      <c r="A711" s="517">
        <v>36</v>
      </c>
      <c r="B711" s="469" t="s">
        <v>1099</v>
      </c>
      <c r="C711" s="476" t="s">
        <v>4902</v>
      </c>
      <c r="D711" s="464" t="s">
        <v>2758</v>
      </c>
      <c r="E711" s="708" t="s">
        <v>2759</v>
      </c>
      <c r="F711" s="466" t="s">
        <v>2755</v>
      </c>
      <c r="G711" s="518" t="s">
        <v>3809</v>
      </c>
      <c r="H711" s="477">
        <v>45069</v>
      </c>
      <c r="I711" s="473">
        <f t="shared" si="24"/>
        <v>3344043.2432432431</v>
      </c>
      <c r="J711" s="473">
        <f t="shared" si="25"/>
        <v>367844.75675675675</v>
      </c>
      <c r="K711" s="474">
        <v>3711888</v>
      </c>
      <c r="L711" s="475"/>
    </row>
    <row r="712" spans="1:12" s="521" customFormat="1" x14ac:dyDescent="0.2">
      <c r="A712" s="517">
        <v>37</v>
      </c>
      <c r="B712" s="485" t="s">
        <v>1100</v>
      </c>
      <c r="C712" s="476" t="s">
        <v>4903</v>
      </c>
      <c r="D712" s="464" t="s">
        <v>2821</v>
      </c>
      <c r="E712" s="471" t="s">
        <v>2822</v>
      </c>
      <c r="F712" s="471" t="s">
        <v>2823</v>
      </c>
      <c r="G712" s="518" t="s">
        <v>3810</v>
      </c>
      <c r="H712" s="477">
        <v>45069</v>
      </c>
      <c r="I712" s="488">
        <f t="shared" si="24"/>
        <v>22475675.675675675</v>
      </c>
      <c r="J712" s="488">
        <f t="shared" si="25"/>
        <v>2472324.3243243243</v>
      </c>
      <c r="K712" s="474">
        <v>24948000</v>
      </c>
      <c r="L712" s="475"/>
    </row>
    <row r="713" spans="1:12" s="521" customFormat="1" x14ac:dyDescent="0.2">
      <c r="A713" s="517">
        <v>38</v>
      </c>
      <c r="B713" s="469" t="s">
        <v>1101</v>
      </c>
      <c r="C713" s="476" t="s">
        <v>4904</v>
      </c>
      <c r="D713" s="464" t="s">
        <v>2758</v>
      </c>
      <c r="E713" s="708" t="s">
        <v>2759</v>
      </c>
      <c r="F713" s="466" t="s">
        <v>2755</v>
      </c>
      <c r="G713" s="518" t="s">
        <v>3811</v>
      </c>
      <c r="H713" s="477">
        <v>45069</v>
      </c>
      <c r="I713" s="473">
        <f t="shared" si="24"/>
        <v>2002747.7477477475</v>
      </c>
      <c r="J713" s="473">
        <f t="shared" si="25"/>
        <v>220302.25225225222</v>
      </c>
      <c r="K713" s="474">
        <v>2223050</v>
      </c>
      <c r="L713" s="475"/>
    </row>
    <row r="714" spans="1:12" s="521" customFormat="1" x14ac:dyDescent="0.2">
      <c r="A714" s="517">
        <v>39</v>
      </c>
      <c r="B714" s="485" t="s">
        <v>1102</v>
      </c>
      <c r="C714" s="476" t="s">
        <v>4905</v>
      </c>
      <c r="D714" s="487" t="s">
        <v>2790</v>
      </c>
      <c r="E714" s="503" t="s">
        <v>2791</v>
      </c>
      <c r="F714" s="504" t="s">
        <v>2792</v>
      </c>
      <c r="G714" s="518" t="s">
        <v>3812</v>
      </c>
      <c r="H714" s="477">
        <v>45069</v>
      </c>
      <c r="I714" s="488">
        <f t="shared" si="24"/>
        <v>1545675.6756756755</v>
      </c>
      <c r="J714" s="488">
        <f t="shared" si="25"/>
        <v>170024.32432432432</v>
      </c>
      <c r="K714" s="474">
        <v>1715700</v>
      </c>
      <c r="L714" s="475"/>
    </row>
    <row r="715" spans="1:12" s="521" customFormat="1" x14ac:dyDescent="0.2">
      <c r="A715" s="517">
        <v>40</v>
      </c>
      <c r="B715" s="469" t="s">
        <v>1103</v>
      </c>
      <c r="C715" s="476" t="s">
        <v>4906</v>
      </c>
      <c r="D715" s="464" t="s">
        <v>2783</v>
      </c>
      <c r="E715" s="465" t="s">
        <v>2784</v>
      </c>
      <c r="F715" s="466" t="s">
        <v>2785</v>
      </c>
      <c r="G715" s="518" t="s">
        <v>3813</v>
      </c>
      <c r="H715" s="477">
        <v>45070</v>
      </c>
      <c r="I715" s="473">
        <f t="shared" si="24"/>
        <v>4690315.3153153146</v>
      </c>
      <c r="J715" s="473">
        <f t="shared" si="25"/>
        <v>515934.68468468462</v>
      </c>
      <c r="K715" s="474">
        <v>5206250</v>
      </c>
      <c r="L715" s="475"/>
    </row>
    <row r="716" spans="1:12" s="521" customFormat="1" x14ac:dyDescent="0.2">
      <c r="A716" s="517">
        <v>41</v>
      </c>
      <c r="B716" s="485" t="s">
        <v>1104</v>
      </c>
      <c r="C716" s="476" t="s">
        <v>4907</v>
      </c>
      <c r="D716" s="464" t="s">
        <v>4508</v>
      </c>
      <c r="E716" s="471" t="s">
        <v>4509</v>
      </c>
      <c r="F716" s="471" t="s">
        <v>2792</v>
      </c>
      <c r="G716" s="518" t="s">
        <v>3814</v>
      </c>
      <c r="H716" s="477">
        <v>45073</v>
      </c>
      <c r="I716" s="488">
        <f t="shared" si="24"/>
        <v>1458333.3333333333</v>
      </c>
      <c r="J716" s="488">
        <f t="shared" si="25"/>
        <v>160416.66666666666</v>
      </c>
      <c r="K716" s="474">
        <v>1618750</v>
      </c>
      <c r="L716" s="475"/>
    </row>
    <row r="717" spans="1:12" s="521" customFormat="1" x14ac:dyDescent="0.2">
      <c r="A717" s="517">
        <v>42</v>
      </c>
      <c r="B717" s="469" t="s">
        <v>1105</v>
      </c>
      <c r="C717" s="476" t="s">
        <v>4908</v>
      </c>
      <c r="D717" s="464" t="s">
        <v>2758</v>
      </c>
      <c r="E717" s="708" t="s">
        <v>2759</v>
      </c>
      <c r="F717" s="466" t="s">
        <v>2755</v>
      </c>
      <c r="G717" s="518" t="s">
        <v>3815</v>
      </c>
      <c r="H717" s="477">
        <v>45075</v>
      </c>
      <c r="I717" s="473">
        <f t="shared" si="24"/>
        <v>3350900.9009009008</v>
      </c>
      <c r="J717" s="473">
        <f t="shared" si="25"/>
        <v>368599.09909909911</v>
      </c>
      <c r="K717" s="474">
        <v>3719500</v>
      </c>
      <c r="L717" s="475"/>
    </row>
    <row r="718" spans="1:12" s="521" customFormat="1" x14ac:dyDescent="0.2">
      <c r="A718" s="517">
        <v>43</v>
      </c>
      <c r="B718" s="485" t="s">
        <v>1106</v>
      </c>
      <c r="C718" s="476" t="s">
        <v>4909</v>
      </c>
      <c r="D718" s="464" t="s">
        <v>2783</v>
      </c>
      <c r="E718" s="465" t="s">
        <v>2784</v>
      </c>
      <c r="F718" s="466" t="s">
        <v>2785</v>
      </c>
      <c r="G718" s="518" t="s">
        <v>3816</v>
      </c>
      <c r="H718" s="477">
        <v>45076</v>
      </c>
      <c r="I718" s="488">
        <f t="shared" si="24"/>
        <v>3346283.7837837837</v>
      </c>
      <c r="J718" s="488">
        <f t="shared" si="25"/>
        <v>368091.21621621621</v>
      </c>
      <c r="K718" s="474">
        <v>3714375</v>
      </c>
      <c r="L718" s="475"/>
    </row>
    <row r="719" spans="1:12" s="521" customFormat="1" x14ac:dyDescent="0.2">
      <c r="A719" s="517">
        <v>44</v>
      </c>
      <c r="B719" s="469" t="s">
        <v>1107</v>
      </c>
      <c r="C719" s="476" t="s">
        <v>4910</v>
      </c>
      <c r="D719" s="464" t="s">
        <v>2758</v>
      </c>
      <c r="E719" s="708" t="s">
        <v>2759</v>
      </c>
      <c r="F719" s="466" t="s">
        <v>2755</v>
      </c>
      <c r="G719" s="518" t="s">
        <v>3817</v>
      </c>
      <c r="H719" s="477">
        <v>45077</v>
      </c>
      <c r="I719" s="473">
        <f t="shared" si="24"/>
        <v>5072172.9729729723</v>
      </c>
      <c r="J719" s="473">
        <f t="shared" si="25"/>
        <v>557939.02702702698</v>
      </c>
      <c r="K719" s="474">
        <v>5630112</v>
      </c>
      <c r="L719" s="475"/>
    </row>
    <row r="720" spans="1:12" s="521" customFormat="1" x14ac:dyDescent="0.2">
      <c r="A720" s="517">
        <v>45</v>
      </c>
      <c r="B720" s="485" t="s">
        <v>1108</v>
      </c>
      <c r="C720" s="476" t="s">
        <v>4911</v>
      </c>
      <c r="D720" s="511" t="s">
        <v>2773</v>
      </c>
      <c r="E720" s="465" t="s">
        <v>2774</v>
      </c>
      <c r="F720" s="510" t="s">
        <v>2755</v>
      </c>
      <c r="G720" s="518" t="s">
        <v>3818</v>
      </c>
      <c r="H720" s="477">
        <v>45077</v>
      </c>
      <c r="I720" s="488">
        <f t="shared" si="24"/>
        <v>2031567.5675675673</v>
      </c>
      <c r="J720" s="488">
        <f t="shared" si="25"/>
        <v>223472.4324324324</v>
      </c>
      <c r="K720" s="474">
        <v>2255040</v>
      </c>
      <c r="L720" s="475"/>
    </row>
    <row r="721" spans="1:12" x14ac:dyDescent="0.2">
      <c r="A721" s="305">
        <v>46</v>
      </c>
      <c r="B721" s="469" t="s">
        <v>1109</v>
      </c>
      <c r="C721" s="476" t="s">
        <v>4851</v>
      </c>
      <c r="D721" s="464"/>
      <c r="E721" s="465" t="s">
        <v>3605</v>
      </c>
      <c r="F721" s="466" t="s">
        <v>2915</v>
      </c>
      <c r="G721" s="518"/>
      <c r="H721" s="477">
        <v>45052</v>
      </c>
      <c r="I721" s="473">
        <f t="shared" si="24"/>
        <v>49674102.702702701</v>
      </c>
      <c r="J721" s="473">
        <f t="shared" si="25"/>
        <v>5464151.297297297</v>
      </c>
      <c r="K721" s="474">
        <f>35846554+5671500+13620200</f>
        <v>55138254</v>
      </c>
      <c r="L721" s="475"/>
    </row>
    <row r="722" spans="1:12" x14ac:dyDescent="0.2">
      <c r="A722" s="305">
        <v>47</v>
      </c>
      <c r="B722" s="485" t="s">
        <v>1110</v>
      </c>
      <c r="C722" s="476" t="s">
        <v>4571</v>
      </c>
      <c r="D722" s="464"/>
      <c r="E722" s="465" t="s">
        <v>3082</v>
      </c>
      <c r="F722" s="466" t="s">
        <v>3061</v>
      </c>
      <c r="G722" s="518"/>
      <c r="H722" s="477">
        <v>45075</v>
      </c>
      <c r="I722" s="488">
        <f t="shared" si="24"/>
        <v>810810.81081081077</v>
      </c>
      <c r="J722" s="488">
        <f t="shared" si="25"/>
        <v>89189.189189189186</v>
      </c>
      <c r="K722" s="474">
        <v>900000</v>
      </c>
      <c r="L722" s="475"/>
    </row>
    <row r="723" spans="1:12" x14ac:dyDescent="0.2">
      <c r="A723" s="305">
        <v>48</v>
      </c>
      <c r="B723" s="469" t="s">
        <v>1111</v>
      </c>
      <c r="C723" s="476" t="s">
        <v>4713</v>
      </c>
      <c r="D723" s="464"/>
      <c r="E723" s="465" t="s">
        <v>2904</v>
      </c>
      <c r="F723" s="466" t="s">
        <v>2905</v>
      </c>
      <c r="G723" s="518"/>
      <c r="H723" s="477">
        <v>45048</v>
      </c>
      <c r="I723" s="473">
        <f t="shared" si="24"/>
        <v>1851351.3513513512</v>
      </c>
      <c r="J723" s="473">
        <f t="shared" si="25"/>
        <v>203648.64864864864</v>
      </c>
      <c r="K723" s="474">
        <f>390000+1665000</f>
        <v>2055000</v>
      </c>
      <c r="L723" s="475"/>
    </row>
    <row r="724" spans="1:12" x14ac:dyDescent="0.2">
      <c r="A724" s="305">
        <v>49</v>
      </c>
      <c r="B724" s="485" t="s">
        <v>1112</v>
      </c>
      <c r="C724" s="476" t="s">
        <v>4572</v>
      </c>
      <c r="D724" s="464"/>
      <c r="E724" s="465" t="s">
        <v>2900</v>
      </c>
      <c r="F724" s="466" t="s">
        <v>2823</v>
      </c>
      <c r="G724" s="518"/>
      <c r="H724" s="477">
        <v>45049</v>
      </c>
      <c r="I724" s="488">
        <f t="shared" si="24"/>
        <v>47564805.405405402</v>
      </c>
      <c r="J724" s="488">
        <f t="shared" si="25"/>
        <v>5232128.5945945941</v>
      </c>
      <c r="K724" s="474">
        <f>19363185+3102624+30331125</f>
        <v>52796934</v>
      </c>
      <c r="L724" s="475"/>
    </row>
    <row r="725" spans="1:12" x14ac:dyDescent="0.2">
      <c r="A725" s="305">
        <v>50</v>
      </c>
      <c r="B725" s="469" t="s">
        <v>1113</v>
      </c>
      <c r="C725" s="476" t="s">
        <v>4573</v>
      </c>
      <c r="D725" s="464"/>
      <c r="E725" s="465" t="s">
        <v>2898</v>
      </c>
      <c r="F725" s="466" t="s">
        <v>2823</v>
      </c>
      <c r="G725" s="518"/>
      <c r="H725" s="477">
        <v>45049</v>
      </c>
      <c r="I725" s="473">
        <f t="shared" si="24"/>
        <v>12933145.945945945</v>
      </c>
      <c r="J725" s="473">
        <f t="shared" si="25"/>
        <v>1422646.054054054</v>
      </c>
      <c r="K725" s="474">
        <f>4296888+8027424+2031480</f>
        <v>14355792</v>
      </c>
      <c r="L725" s="475"/>
    </row>
    <row r="726" spans="1:12" x14ac:dyDescent="0.2">
      <c r="A726" s="305">
        <v>51</v>
      </c>
      <c r="B726" s="485" t="s">
        <v>1114</v>
      </c>
      <c r="C726" s="476" t="s">
        <v>4703</v>
      </c>
      <c r="D726" s="464"/>
      <c r="E726" s="465" t="s">
        <v>2958</v>
      </c>
      <c r="F726" s="466" t="s">
        <v>2823</v>
      </c>
      <c r="G726" s="518"/>
      <c r="H726" s="477">
        <v>45049</v>
      </c>
      <c r="I726" s="488">
        <f t="shared" si="24"/>
        <v>14997353.153153151</v>
      </c>
      <c r="J726" s="488">
        <f t="shared" si="25"/>
        <v>1649708.8468468466</v>
      </c>
      <c r="K726" s="474">
        <f>5192757+7218977+4235328</f>
        <v>16647062</v>
      </c>
      <c r="L726" s="475"/>
    </row>
    <row r="727" spans="1:12" x14ac:dyDescent="0.2">
      <c r="A727" s="305">
        <v>52</v>
      </c>
      <c r="B727" s="469" t="s">
        <v>1115</v>
      </c>
      <c r="C727" s="476" t="s">
        <v>4694</v>
      </c>
      <c r="D727" s="464"/>
      <c r="E727" s="465" t="s">
        <v>2937</v>
      </c>
      <c r="F727" s="466" t="s">
        <v>2823</v>
      </c>
      <c r="G727" s="518"/>
      <c r="H727" s="477">
        <v>45055</v>
      </c>
      <c r="I727" s="473">
        <f t="shared" si="24"/>
        <v>18110286.486486483</v>
      </c>
      <c r="J727" s="473">
        <f t="shared" si="25"/>
        <v>1992131.5135135131</v>
      </c>
      <c r="K727" s="474">
        <f>5294160+1671354+13136904</f>
        <v>20102418</v>
      </c>
      <c r="L727" s="475"/>
    </row>
    <row r="728" spans="1:12" x14ac:dyDescent="0.2">
      <c r="A728" s="305">
        <v>53</v>
      </c>
      <c r="B728" s="485" t="s">
        <v>1116</v>
      </c>
      <c r="C728" s="476" t="s">
        <v>4574</v>
      </c>
      <c r="D728" s="464"/>
      <c r="E728" s="471" t="s">
        <v>2900</v>
      </c>
      <c r="F728" s="471" t="s">
        <v>2823</v>
      </c>
      <c r="G728" s="518"/>
      <c r="H728" s="472">
        <v>45055</v>
      </c>
      <c r="I728" s="488">
        <f t="shared" si="24"/>
        <v>24124864.864864863</v>
      </c>
      <c r="J728" s="488">
        <f t="shared" si="25"/>
        <v>2653735.1351351351</v>
      </c>
      <c r="K728" s="474">
        <f>16067160+5355720+5355720</f>
        <v>26778600</v>
      </c>
      <c r="L728" s="475"/>
    </row>
    <row r="729" spans="1:12" x14ac:dyDescent="0.2">
      <c r="A729" s="305">
        <v>54</v>
      </c>
      <c r="B729" s="469" t="s">
        <v>1117</v>
      </c>
      <c r="C729" s="476" t="s">
        <v>4695</v>
      </c>
      <c r="D729" s="464"/>
      <c r="E729" s="465" t="s">
        <v>2898</v>
      </c>
      <c r="F729" s="466" t="s">
        <v>2823</v>
      </c>
      <c r="G729" s="518"/>
      <c r="H729" s="477">
        <v>45052</v>
      </c>
      <c r="I729" s="473">
        <f t="shared" si="24"/>
        <v>16799594.594594594</v>
      </c>
      <c r="J729" s="473">
        <f t="shared" si="25"/>
        <v>1847955.4054054054</v>
      </c>
      <c r="K729" s="474">
        <f>2757888+9578736+6310926</f>
        <v>18647550</v>
      </c>
      <c r="L729" s="475"/>
    </row>
    <row r="730" spans="1:12" x14ac:dyDescent="0.2">
      <c r="A730" s="305">
        <v>55</v>
      </c>
      <c r="B730" s="485" t="s">
        <v>1118</v>
      </c>
      <c r="C730" s="476" t="s">
        <v>4586</v>
      </c>
      <c r="D730" s="464"/>
      <c r="E730" s="465" t="s">
        <v>2894</v>
      </c>
      <c r="F730" s="466" t="s">
        <v>2851</v>
      </c>
      <c r="G730" s="518"/>
      <c r="H730" s="477">
        <v>45048</v>
      </c>
      <c r="I730" s="488">
        <f t="shared" si="24"/>
        <v>77262421.621621609</v>
      </c>
      <c r="J730" s="488">
        <f t="shared" si="25"/>
        <v>8498866.3783783764</v>
      </c>
      <c r="K730" s="474">
        <f>2647080+76465728+6648480</f>
        <v>85761288</v>
      </c>
      <c r="L730" s="475"/>
    </row>
    <row r="731" spans="1:12" x14ac:dyDescent="0.2">
      <c r="A731" s="305">
        <v>56</v>
      </c>
      <c r="B731" s="469" t="s">
        <v>1119</v>
      </c>
      <c r="C731" s="476" t="s">
        <v>4588</v>
      </c>
      <c r="D731" s="464"/>
      <c r="E731" s="479" t="s">
        <v>2907</v>
      </c>
      <c r="F731" s="466" t="s">
        <v>2908</v>
      </c>
      <c r="G731" s="518"/>
      <c r="H731" s="477">
        <v>45048</v>
      </c>
      <c r="I731" s="473">
        <f t="shared" si="24"/>
        <v>18794056.756756756</v>
      </c>
      <c r="J731" s="473">
        <f t="shared" si="25"/>
        <v>2067346.2432432433</v>
      </c>
      <c r="K731" s="474">
        <f>8937999+7161396+4762008</f>
        <v>20861403</v>
      </c>
      <c r="L731" s="475"/>
    </row>
    <row r="732" spans="1:12" x14ac:dyDescent="0.2">
      <c r="A732" s="305">
        <v>57</v>
      </c>
      <c r="B732" s="485" t="s">
        <v>1120</v>
      </c>
      <c r="C732" s="476" t="s">
        <v>4665</v>
      </c>
      <c r="D732" s="464"/>
      <c r="E732" s="465" t="s">
        <v>2885</v>
      </c>
      <c r="F732" s="466" t="s">
        <v>2886</v>
      </c>
      <c r="G732" s="518"/>
      <c r="H732" s="477">
        <v>45054</v>
      </c>
      <c r="I732" s="488">
        <f t="shared" si="24"/>
        <v>4430432.4324324317</v>
      </c>
      <c r="J732" s="488">
        <f t="shared" si="25"/>
        <v>487347.56756756752</v>
      </c>
      <c r="K732" s="474">
        <f>2790720+1857060+270000</f>
        <v>4917780</v>
      </c>
      <c r="L732" s="475"/>
    </row>
    <row r="733" spans="1:12" x14ac:dyDescent="0.2">
      <c r="A733" s="305">
        <v>58</v>
      </c>
      <c r="B733" s="469" t="s">
        <v>1121</v>
      </c>
      <c r="C733" s="476" t="s">
        <v>4597</v>
      </c>
      <c r="D733" s="464"/>
      <c r="E733" s="465" t="s">
        <v>3461</v>
      </c>
      <c r="F733" s="466" t="s">
        <v>2890</v>
      </c>
      <c r="G733" s="518"/>
      <c r="H733" s="477">
        <v>45050</v>
      </c>
      <c r="I733" s="473">
        <f t="shared" si="24"/>
        <v>5024627.9279279271</v>
      </c>
      <c r="J733" s="473">
        <f t="shared" si="25"/>
        <v>552709.07207207195</v>
      </c>
      <c r="K733" s="474">
        <f>2363905+3213432</f>
        <v>5577337</v>
      </c>
      <c r="L733" s="475"/>
    </row>
    <row r="734" spans="1:12" x14ac:dyDescent="0.2">
      <c r="A734" s="305">
        <v>59</v>
      </c>
      <c r="B734" s="485" t="s">
        <v>1122</v>
      </c>
      <c r="C734" s="476" t="s">
        <v>4734</v>
      </c>
      <c r="D734" s="464"/>
      <c r="E734" s="465" t="s">
        <v>3471</v>
      </c>
      <c r="F734" s="466" t="s">
        <v>3472</v>
      </c>
      <c r="G734" s="518"/>
      <c r="H734" s="477">
        <v>45050</v>
      </c>
      <c r="I734" s="488">
        <f t="shared" si="24"/>
        <v>8699256.7567567565</v>
      </c>
      <c r="J734" s="488">
        <f t="shared" si="25"/>
        <v>956918.2432432432</v>
      </c>
      <c r="K734" s="474">
        <f>4813455+1785240+3057480</f>
        <v>9656175</v>
      </c>
      <c r="L734" s="475"/>
    </row>
    <row r="735" spans="1:12" x14ac:dyDescent="0.2">
      <c r="A735" s="305">
        <v>60</v>
      </c>
      <c r="B735" s="469" t="s">
        <v>1123</v>
      </c>
      <c r="C735" s="476" t="s">
        <v>4595</v>
      </c>
      <c r="D735" s="464"/>
      <c r="E735" s="465" t="s">
        <v>2961</v>
      </c>
      <c r="F735" s="466" t="s">
        <v>2953</v>
      </c>
      <c r="G735" s="518"/>
      <c r="H735" s="477">
        <v>45054</v>
      </c>
      <c r="I735" s="473">
        <f t="shared" si="24"/>
        <v>16750143.243243242</v>
      </c>
      <c r="J735" s="473">
        <f t="shared" si="25"/>
        <v>1842515.7567567567</v>
      </c>
      <c r="K735" s="474">
        <f>4851954+13740705</f>
        <v>18592659</v>
      </c>
      <c r="L735" s="475"/>
    </row>
    <row r="736" spans="1:12" x14ac:dyDescent="0.2">
      <c r="A736" s="305">
        <v>61</v>
      </c>
      <c r="B736" s="485" t="s">
        <v>1124</v>
      </c>
      <c r="C736" s="476" t="s">
        <v>4575</v>
      </c>
      <c r="D736" s="464"/>
      <c r="E736" s="465" t="s">
        <v>4294</v>
      </c>
      <c r="F736" s="466" t="s">
        <v>2946</v>
      </c>
      <c r="G736" s="518"/>
      <c r="H736" s="477">
        <v>45054</v>
      </c>
      <c r="I736" s="488">
        <f t="shared" si="24"/>
        <v>987942.34234234225</v>
      </c>
      <c r="J736" s="488">
        <f t="shared" si="25"/>
        <v>108673.65765765765</v>
      </c>
      <c r="K736" s="474">
        <v>1096616</v>
      </c>
      <c r="L736" s="475"/>
    </row>
    <row r="737" spans="1:12" x14ac:dyDescent="0.2">
      <c r="A737" s="305">
        <v>62</v>
      </c>
      <c r="B737" s="469" t="s">
        <v>1125</v>
      </c>
      <c r="C737" s="476" t="s">
        <v>4576</v>
      </c>
      <c r="D737" s="464"/>
      <c r="E737" s="465" t="s">
        <v>2881</v>
      </c>
      <c r="F737" s="466" t="s">
        <v>2882</v>
      </c>
      <c r="G737" s="518"/>
      <c r="H737" s="477">
        <v>45055</v>
      </c>
      <c r="I737" s="473">
        <f t="shared" si="24"/>
        <v>2899681.0810810807</v>
      </c>
      <c r="J737" s="473">
        <f t="shared" si="25"/>
        <v>318964.91891891888</v>
      </c>
      <c r="K737" s="474">
        <v>3218646</v>
      </c>
      <c r="L737" s="475"/>
    </row>
    <row r="738" spans="1:12" x14ac:dyDescent="0.2">
      <c r="A738" s="305">
        <v>63</v>
      </c>
      <c r="B738" s="485" t="s">
        <v>1126</v>
      </c>
      <c r="C738" s="476" t="s">
        <v>4739</v>
      </c>
      <c r="D738" s="464"/>
      <c r="E738" s="465" t="s">
        <v>2907</v>
      </c>
      <c r="F738" s="466" t="s">
        <v>2953</v>
      </c>
      <c r="G738" s="518"/>
      <c r="H738" s="477">
        <v>45056</v>
      </c>
      <c r="I738" s="488">
        <f t="shared" si="24"/>
        <v>12873064.864864863</v>
      </c>
      <c r="J738" s="488">
        <f t="shared" si="25"/>
        <v>1416037.1351351349</v>
      </c>
      <c r="K738" s="474">
        <f>4456944+7657038+2175120</f>
        <v>14289102</v>
      </c>
      <c r="L738" s="475"/>
    </row>
    <row r="739" spans="1:12" x14ac:dyDescent="0.2">
      <c r="A739" s="305">
        <v>64</v>
      </c>
      <c r="B739" s="469" t="s">
        <v>1127</v>
      </c>
      <c r="C739" s="476" t="s">
        <v>4747</v>
      </c>
      <c r="D739" s="464"/>
      <c r="E739" s="465" t="s">
        <v>2887</v>
      </c>
      <c r="F739" s="466" t="s">
        <v>2888</v>
      </c>
      <c r="G739" s="518"/>
      <c r="H739" s="477">
        <v>45056</v>
      </c>
      <c r="I739" s="473">
        <f t="shared" si="24"/>
        <v>12317545.945945945</v>
      </c>
      <c r="J739" s="473">
        <f t="shared" si="25"/>
        <v>1354930.054054054</v>
      </c>
      <c r="K739" s="474">
        <f>2548584+4543128+3456594+3124170</f>
        <v>13672476</v>
      </c>
      <c r="L739" s="475"/>
    </row>
    <row r="740" spans="1:12" x14ac:dyDescent="0.2">
      <c r="A740" s="305">
        <v>65</v>
      </c>
      <c r="B740" s="485" t="s">
        <v>1128</v>
      </c>
      <c r="C740" s="476" t="s">
        <v>4596</v>
      </c>
      <c r="D740" s="464"/>
      <c r="E740" s="465" t="s">
        <v>4026</v>
      </c>
      <c r="F740" s="466" t="s">
        <v>3033</v>
      </c>
      <c r="G740" s="518"/>
      <c r="H740" s="477">
        <v>45051</v>
      </c>
      <c r="I740" s="488">
        <f t="shared" si="24"/>
        <v>3262551.351351351</v>
      </c>
      <c r="J740" s="488">
        <f t="shared" si="25"/>
        <v>358880.64864864864</v>
      </c>
      <c r="K740" s="474">
        <f>216000+192000+3213432</f>
        <v>3621432</v>
      </c>
      <c r="L740" s="475"/>
    </row>
    <row r="741" spans="1:12" x14ac:dyDescent="0.2">
      <c r="A741" s="305">
        <v>66</v>
      </c>
      <c r="B741" s="469" t="s">
        <v>1129</v>
      </c>
      <c r="C741" s="476" t="s">
        <v>4655</v>
      </c>
      <c r="D741" s="464"/>
      <c r="E741" s="465" t="s">
        <v>2907</v>
      </c>
      <c r="F741" s="466" t="s">
        <v>2926</v>
      </c>
      <c r="G741" s="518"/>
      <c r="H741" s="477">
        <v>45048</v>
      </c>
      <c r="I741" s="473">
        <f t="shared" si="24"/>
        <v>20264951.351351351</v>
      </c>
      <c r="J741" s="473">
        <f t="shared" si="25"/>
        <v>2229144.6486486485</v>
      </c>
      <c r="K741" s="474">
        <f>4974120+6032880+11487096</f>
        <v>22494096</v>
      </c>
      <c r="L741" s="475"/>
    </row>
    <row r="742" spans="1:12" x14ac:dyDescent="0.2">
      <c r="A742" s="305">
        <v>67</v>
      </c>
      <c r="B742" s="485" t="s">
        <v>1130</v>
      </c>
      <c r="C742" s="476" t="s">
        <v>4680</v>
      </c>
      <c r="D742" s="464"/>
      <c r="E742" s="465" t="s">
        <v>2956</v>
      </c>
      <c r="F742" s="466" t="s">
        <v>2755</v>
      </c>
      <c r="G742" s="518"/>
      <c r="H742" s="477">
        <v>45054</v>
      </c>
      <c r="I742" s="488">
        <f t="shared" ref="I742:I805" si="26">K742/1.11</f>
        <v>6059273.8738738736</v>
      </c>
      <c r="J742" s="488">
        <f t="shared" ref="J742:J805" si="27">I742*11%</f>
        <v>666520.12612612615</v>
      </c>
      <c r="K742" s="474">
        <f>2282850+969500+3473444</f>
        <v>6725794</v>
      </c>
      <c r="L742" s="475"/>
    </row>
    <row r="743" spans="1:12" x14ac:dyDescent="0.2">
      <c r="A743" s="305">
        <v>68</v>
      </c>
      <c r="B743" s="469" t="s">
        <v>1131</v>
      </c>
      <c r="C743" s="476" t="s">
        <v>4602</v>
      </c>
      <c r="D743" s="464"/>
      <c r="E743" s="465" t="s">
        <v>3138</v>
      </c>
      <c r="F743" s="466" t="s">
        <v>3077</v>
      </c>
      <c r="G743" s="518"/>
      <c r="H743" s="477">
        <v>45048</v>
      </c>
      <c r="I743" s="473">
        <f t="shared" si="26"/>
        <v>5866666.666666666</v>
      </c>
      <c r="J743" s="473">
        <f t="shared" si="27"/>
        <v>645333.33333333326</v>
      </c>
      <c r="K743" s="474">
        <f>4752000+1760000</f>
        <v>6512000</v>
      </c>
      <c r="L743" s="475"/>
    </row>
    <row r="744" spans="1:12" x14ac:dyDescent="0.2">
      <c r="A744" s="305">
        <v>69</v>
      </c>
      <c r="B744" s="485" t="s">
        <v>1132</v>
      </c>
      <c r="C744" s="476" t="s">
        <v>4591</v>
      </c>
      <c r="D744" s="464"/>
      <c r="E744" s="465" t="s">
        <v>2968</v>
      </c>
      <c r="F744" s="466" t="s">
        <v>2969</v>
      </c>
      <c r="G744" s="518"/>
      <c r="H744" s="477">
        <v>45048</v>
      </c>
      <c r="I744" s="488">
        <f t="shared" si="26"/>
        <v>20052944.144144144</v>
      </c>
      <c r="J744" s="488">
        <f t="shared" si="27"/>
        <v>2205823.8558558556</v>
      </c>
      <c r="K744" s="474">
        <f>9476820+11138296+1643652</f>
        <v>22258768</v>
      </c>
      <c r="L744" s="475"/>
    </row>
    <row r="745" spans="1:12" x14ac:dyDescent="0.2">
      <c r="A745" s="305">
        <v>70</v>
      </c>
      <c r="B745" s="469" t="s">
        <v>1133</v>
      </c>
      <c r="C745" s="476" t="s">
        <v>4585</v>
      </c>
      <c r="D745" s="464"/>
      <c r="E745" s="465" t="s">
        <v>2991</v>
      </c>
      <c r="F745" s="466" t="s">
        <v>2886</v>
      </c>
      <c r="G745" s="518"/>
      <c r="H745" s="477">
        <v>45048</v>
      </c>
      <c r="I745" s="473">
        <f t="shared" si="26"/>
        <v>4694527.0270270268</v>
      </c>
      <c r="J745" s="473">
        <f t="shared" si="27"/>
        <v>516397.97297297296</v>
      </c>
      <c r="K745" s="474">
        <f>1910925+3300000</f>
        <v>5210925</v>
      </c>
      <c r="L745" s="475"/>
    </row>
    <row r="746" spans="1:12" x14ac:dyDescent="0.2">
      <c r="A746" s="305">
        <v>71</v>
      </c>
      <c r="B746" s="485" t="s">
        <v>1134</v>
      </c>
      <c r="C746" s="476" t="s">
        <v>4632</v>
      </c>
      <c r="D746" s="464"/>
      <c r="E746" s="465" t="s">
        <v>3921</v>
      </c>
      <c r="F746" s="466" t="s">
        <v>2873</v>
      </c>
      <c r="G746" s="518"/>
      <c r="H746" s="477">
        <v>45049</v>
      </c>
      <c r="I746" s="488">
        <f t="shared" si="26"/>
        <v>1106471.1711711711</v>
      </c>
      <c r="J746" s="488">
        <f t="shared" si="27"/>
        <v>121711.82882882883</v>
      </c>
      <c r="K746" s="474">
        <f>754940+146205+327038</f>
        <v>1228183</v>
      </c>
      <c r="L746" s="475"/>
    </row>
    <row r="747" spans="1:12" x14ac:dyDescent="0.2">
      <c r="A747" s="305">
        <v>72</v>
      </c>
      <c r="B747" s="469" t="s">
        <v>1135</v>
      </c>
      <c r="C747" s="476" t="s">
        <v>4577</v>
      </c>
      <c r="D747" s="464"/>
      <c r="E747" s="465" t="s">
        <v>4578</v>
      </c>
      <c r="F747" s="466" t="s">
        <v>3609</v>
      </c>
      <c r="G747" s="518"/>
      <c r="H747" s="477">
        <v>45049</v>
      </c>
      <c r="I747" s="473">
        <f t="shared" si="26"/>
        <v>989027.02702702698</v>
      </c>
      <c r="J747" s="473">
        <f t="shared" si="27"/>
        <v>108792.97297297297</v>
      </c>
      <c r="K747" s="474">
        <v>1097820</v>
      </c>
      <c r="L747" s="475"/>
    </row>
    <row r="748" spans="1:12" x14ac:dyDescent="0.2">
      <c r="A748" s="305">
        <v>73</v>
      </c>
      <c r="B748" s="485" t="s">
        <v>1136</v>
      </c>
      <c r="C748" s="476" t="s">
        <v>4603</v>
      </c>
      <c r="D748" s="464"/>
      <c r="E748" s="471" t="s">
        <v>2914</v>
      </c>
      <c r="F748" s="471" t="s">
        <v>2915</v>
      </c>
      <c r="G748" s="518"/>
      <c r="H748" s="472">
        <v>45049</v>
      </c>
      <c r="I748" s="488">
        <f t="shared" si="26"/>
        <v>2888984.6846846845</v>
      </c>
      <c r="J748" s="488">
        <f t="shared" si="27"/>
        <v>317788.31531531533</v>
      </c>
      <c r="K748" s="474">
        <f>1120500+485200+1601073</f>
        <v>3206773</v>
      </c>
      <c r="L748" s="475"/>
    </row>
    <row r="749" spans="1:12" x14ac:dyDescent="0.2">
      <c r="A749" s="305">
        <v>74</v>
      </c>
      <c r="B749" s="469" t="s">
        <v>1137</v>
      </c>
      <c r="C749" s="476" t="s">
        <v>4645</v>
      </c>
      <c r="D749" s="464"/>
      <c r="E749" s="465" t="s">
        <v>2929</v>
      </c>
      <c r="F749" s="466" t="s">
        <v>2886</v>
      </c>
      <c r="G749" s="518"/>
      <c r="H749" s="477">
        <v>45049</v>
      </c>
      <c r="I749" s="473">
        <f t="shared" si="26"/>
        <v>3585096.3963963962</v>
      </c>
      <c r="J749" s="473">
        <f t="shared" si="27"/>
        <v>394360.60360360361</v>
      </c>
      <c r="K749" s="474">
        <f>734476+231876+3013105</f>
        <v>3979457</v>
      </c>
      <c r="L749" s="475"/>
    </row>
    <row r="750" spans="1:12" x14ac:dyDescent="0.2">
      <c r="A750" s="305">
        <v>75</v>
      </c>
      <c r="B750" s="485" t="s">
        <v>1138</v>
      </c>
      <c r="C750" s="476" t="s">
        <v>4579</v>
      </c>
      <c r="D750" s="464"/>
      <c r="E750" s="465" t="s">
        <v>4580</v>
      </c>
      <c r="F750" s="466" t="s">
        <v>3924</v>
      </c>
      <c r="G750" s="518"/>
      <c r="H750" s="477">
        <v>45050</v>
      </c>
      <c r="I750" s="488">
        <f t="shared" si="26"/>
        <v>83189.189189189186</v>
      </c>
      <c r="J750" s="488">
        <f t="shared" si="27"/>
        <v>9150.8108108108099</v>
      </c>
      <c r="K750" s="474">
        <v>92340</v>
      </c>
      <c r="L750" s="475"/>
    </row>
    <row r="751" spans="1:12" x14ac:dyDescent="0.2">
      <c r="A751" s="305">
        <v>76</v>
      </c>
      <c r="B751" s="469" t="s">
        <v>1139</v>
      </c>
      <c r="C751" s="476" t="s">
        <v>4581</v>
      </c>
      <c r="D751" s="464"/>
      <c r="E751" s="465" t="s">
        <v>4008</v>
      </c>
      <c r="F751" s="466" t="s">
        <v>2828</v>
      </c>
      <c r="G751" s="518"/>
      <c r="H751" s="477">
        <v>45050</v>
      </c>
      <c r="I751" s="473">
        <f t="shared" si="26"/>
        <v>1427027.027027027</v>
      </c>
      <c r="J751" s="473">
        <f t="shared" si="27"/>
        <v>156972.97297297296</v>
      </c>
      <c r="K751" s="474">
        <v>1584000</v>
      </c>
      <c r="L751" s="475"/>
    </row>
    <row r="752" spans="1:12" x14ac:dyDescent="0.2">
      <c r="A752" s="305">
        <v>77</v>
      </c>
      <c r="B752" s="485" t="s">
        <v>1140</v>
      </c>
      <c r="C752" s="480" t="s">
        <v>4693</v>
      </c>
      <c r="D752" s="481"/>
      <c r="E752" s="482" t="s">
        <v>3000</v>
      </c>
      <c r="F752" s="483" t="s">
        <v>3001</v>
      </c>
      <c r="G752" s="513"/>
      <c r="H752" s="484">
        <v>45063</v>
      </c>
      <c r="I752" s="488">
        <f t="shared" si="26"/>
        <v>121621.62162162161</v>
      </c>
      <c r="J752" s="488">
        <f t="shared" si="27"/>
        <v>13378.378378378378</v>
      </c>
      <c r="K752" s="474">
        <v>135000</v>
      </c>
      <c r="L752" s="475"/>
    </row>
    <row r="753" spans="1:12" x14ac:dyDescent="0.2">
      <c r="A753" s="305">
        <v>78</v>
      </c>
      <c r="B753" s="469" t="s">
        <v>1141</v>
      </c>
      <c r="C753" s="476" t="s">
        <v>4635</v>
      </c>
      <c r="D753" s="464"/>
      <c r="E753" s="465" t="s">
        <v>4582</v>
      </c>
      <c r="F753" s="466" t="s">
        <v>2792</v>
      </c>
      <c r="G753" s="518"/>
      <c r="H753" s="477">
        <v>45051</v>
      </c>
      <c r="I753" s="473">
        <f t="shared" si="26"/>
        <v>49292367.567567565</v>
      </c>
      <c r="J753" s="473">
        <f t="shared" si="27"/>
        <v>5422160.4324324317</v>
      </c>
      <c r="K753" s="474">
        <f>48866328+3324240+2523960</f>
        <v>54714528</v>
      </c>
      <c r="L753" s="475"/>
    </row>
    <row r="754" spans="1:12" x14ac:dyDescent="0.2">
      <c r="A754" s="305">
        <v>79</v>
      </c>
      <c r="B754" s="485" t="s">
        <v>1142</v>
      </c>
      <c r="C754" s="476" t="s">
        <v>4652</v>
      </c>
      <c r="D754" s="464"/>
      <c r="E754" s="465" t="s">
        <v>2883</v>
      </c>
      <c r="F754" s="466" t="s">
        <v>2884</v>
      </c>
      <c r="G754" s="518"/>
      <c r="H754" s="477">
        <v>45051</v>
      </c>
      <c r="I754" s="488">
        <f t="shared" si="26"/>
        <v>17331081.081081081</v>
      </c>
      <c r="J754" s="488">
        <f t="shared" si="27"/>
        <v>1906418.9189189191</v>
      </c>
      <c r="K754" s="474">
        <f>6685416+2523960+10028124</f>
        <v>19237500</v>
      </c>
      <c r="L754" s="475"/>
    </row>
    <row r="755" spans="1:12" x14ac:dyDescent="0.2">
      <c r="A755" s="305">
        <v>80</v>
      </c>
      <c r="B755" s="469" t="s">
        <v>1143</v>
      </c>
      <c r="C755" s="476" t="s">
        <v>4624</v>
      </c>
      <c r="D755" s="464"/>
      <c r="E755" s="465" t="s">
        <v>2945</v>
      </c>
      <c r="F755" s="466" t="s">
        <v>2946</v>
      </c>
      <c r="G755" s="518"/>
      <c r="H755" s="477">
        <v>45051</v>
      </c>
      <c r="I755" s="473">
        <f t="shared" si="26"/>
        <v>4757343.2432432426</v>
      </c>
      <c r="J755" s="473">
        <f t="shared" si="27"/>
        <v>523307.75675675669</v>
      </c>
      <c r="K755" s="474">
        <f>1805589+2677860+797202</f>
        <v>5280651</v>
      </c>
      <c r="L755" s="475"/>
    </row>
    <row r="756" spans="1:12" x14ac:dyDescent="0.2">
      <c r="A756" s="305">
        <v>81</v>
      </c>
      <c r="B756" s="485" t="s">
        <v>1144</v>
      </c>
      <c r="C756" s="476" t="s">
        <v>4583</v>
      </c>
      <c r="D756" s="464"/>
      <c r="E756" s="465" t="s">
        <v>4584</v>
      </c>
      <c r="F756" s="466" t="s">
        <v>2808</v>
      </c>
      <c r="G756" s="518"/>
      <c r="H756" s="477">
        <v>45052</v>
      </c>
      <c r="I756" s="488">
        <f t="shared" si="26"/>
        <v>188562.16216216216</v>
      </c>
      <c r="J756" s="488">
        <f t="shared" si="27"/>
        <v>20741.837837837837</v>
      </c>
      <c r="K756" s="474">
        <v>209304</v>
      </c>
      <c r="L756" s="475"/>
    </row>
    <row r="757" spans="1:12" x14ac:dyDescent="0.2">
      <c r="A757" s="305">
        <v>82</v>
      </c>
      <c r="B757" s="469" t="s">
        <v>1145</v>
      </c>
      <c r="C757" s="476" t="s">
        <v>4598</v>
      </c>
      <c r="D757" s="464"/>
      <c r="E757" s="465" t="s">
        <v>2881</v>
      </c>
      <c r="F757" s="466" t="s">
        <v>2808</v>
      </c>
      <c r="G757" s="518"/>
      <c r="H757" s="477">
        <v>45049</v>
      </c>
      <c r="I757" s="473">
        <f t="shared" si="26"/>
        <v>18981416.216216214</v>
      </c>
      <c r="J757" s="473">
        <f t="shared" si="27"/>
        <v>2087955.7837837834</v>
      </c>
      <c r="K757" s="474">
        <f>11875608+1887840+7305924</f>
        <v>21069372</v>
      </c>
      <c r="L757" s="475"/>
    </row>
    <row r="758" spans="1:12" x14ac:dyDescent="0.2">
      <c r="A758" s="305">
        <v>83</v>
      </c>
      <c r="B758" s="485" t="s">
        <v>1146</v>
      </c>
      <c r="C758" s="476" t="s">
        <v>4654</v>
      </c>
      <c r="D758" s="464"/>
      <c r="E758" s="465" t="s">
        <v>2934</v>
      </c>
      <c r="F758" s="466" t="s">
        <v>2935</v>
      </c>
      <c r="G758" s="518"/>
      <c r="H758" s="477">
        <v>45049</v>
      </c>
      <c r="I758" s="488">
        <f t="shared" si="26"/>
        <v>10882070.270270269</v>
      </c>
      <c r="J758" s="488">
        <f t="shared" si="27"/>
        <v>1197027.7297297297</v>
      </c>
      <c r="K758" s="474">
        <f>3016440+1215810+7846848</f>
        <v>12079098</v>
      </c>
      <c r="L758" s="475"/>
    </row>
    <row r="759" spans="1:12" x14ac:dyDescent="0.2">
      <c r="A759" s="305">
        <v>84</v>
      </c>
      <c r="B759" s="469" t="s">
        <v>1147</v>
      </c>
      <c r="C759" s="476" t="s">
        <v>4599</v>
      </c>
      <c r="D759" s="464"/>
      <c r="E759" s="471" t="s">
        <v>2893</v>
      </c>
      <c r="F759" s="471" t="s">
        <v>2890</v>
      </c>
      <c r="G759" s="518"/>
      <c r="H759" s="472">
        <v>45052</v>
      </c>
      <c r="I759" s="473">
        <f t="shared" si="26"/>
        <v>10831232.432432432</v>
      </c>
      <c r="J759" s="473">
        <f t="shared" si="27"/>
        <v>1191435.5675675676</v>
      </c>
      <c r="K759" s="474">
        <f>4339980+1671354+6011334</f>
        <v>12022668</v>
      </c>
      <c r="L759" s="475"/>
    </row>
    <row r="760" spans="1:12" x14ac:dyDescent="0.2">
      <c r="A760" s="305">
        <v>85</v>
      </c>
      <c r="B760" s="485" t="s">
        <v>1148</v>
      </c>
      <c r="C760" s="476" t="s">
        <v>4587</v>
      </c>
      <c r="D760" s="464"/>
      <c r="E760" s="471" t="s">
        <v>3536</v>
      </c>
      <c r="F760" s="471" t="s">
        <v>2877</v>
      </c>
      <c r="G760" s="518"/>
      <c r="H760" s="472">
        <v>45048</v>
      </c>
      <c r="I760" s="488">
        <f t="shared" si="26"/>
        <v>851351.35135135124</v>
      </c>
      <c r="J760" s="488">
        <f t="shared" si="27"/>
        <v>93648.648648648639</v>
      </c>
      <c r="K760" s="474">
        <v>945000</v>
      </c>
      <c r="L760" s="475"/>
    </row>
    <row r="761" spans="1:12" x14ac:dyDescent="0.2">
      <c r="A761" s="305">
        <v>86</v>
      </c>
      <c r="B761" s="469" t="s">
        <v>1149</v>
      </c>
      <c r="C761" s="476" t="s">
        <v>4615</v>
      </c>
      <c r="D761" s="464"/>
      <c r="E761" s="465" t="s">
        <v>2939</v>
      </c>
      <c r="F761" s="466" t="s">
        <v>2940</v>
      </c>
      <c r="G761" s="518"/>
      <c r="H761" s="477">
        <v>45054</v>
      </c>
      <c r="I761" s="473">
        <f t="shared" si="26"/>
        <v>6136589.1891891891</v>
      </c>
      <c r="J761" s="473">
        <f t="shared" si="27"/>
        <v>675024.81081081077</v>
      </c>
      <c r="K761" s="474">
        <f>4052700+1359450+1399464</f>
        <v>6811614</v>
      </c>
      <c r="L761" s="475"/>
    </row>
    <row r="762" spans="1:12" x14ac:dyDescent="0.2">
      <c r="A762" s="305">
        <v>87</v>
      </c>
      <c r="B762" s="485" t="s">
        <v>1150</v>
      </c>
      <c r="C762" s="476" t="s">
        <v>4631</v>
      </c>
      <c r="D762" s="464"/>
      <c r="E762" s="465" t="s">
        <v>3556</v>
      </c>
      <c r="F762" s="466" t="s">
        <v>3061</v>
      </c>
      <c r="G762" s="518"/>
      <c r="H762" s="477">
        <v>45049</v>
      </c>
      <c r="I762" s="488">
        <f t="shared" si="26"/>
        <v>15958459.459459458</v>
      </c>
      <c r="J762" s="488">
        <f t="shared" si="27"/>
        <v>1755430.5405405404</v>
      </c>
      <c r="K762" s="474">
        <f>9603360+1462050+6648480</f>
        <v>17713890</v>
      </c>
      <c r="L762" s="475"/>
    </row>
    <row r="763" spans="1:12" x14ac:dyDescent="0.2">
      <c r="A763" s="305">
        <v>88</v>
      </c>
      <c r="B763" s="469" t="s">
        <v>1151</v>
      </c>
      <c r="C763" s="476" t="s">
        <v>4601</v>
      </c>
      <c r="D763" s="464"/>
      <c r="E763" s="465" t="s">
        <v>2907</v>
      </c>
      <c r="F763" s="466" t="s">
        <v>2858</v>
      </c>
      <c r="G763" s="518"/>
      <c r="H763" s="477">
        <v>45049</v>
      </c>
      <c r="I763" s="473">
        <f t="shared" si="26"/>
        <v>66463694.59459459</v>
      </c>
      <c r="J763" s="473">
        <f t="shared" si="27"/>
        <v>7311006.405405405</v>
      </c>
      <c r="K763" s="474">
        <f>3056625+46853316+23864760</f>
        <v>73774701</v>
      </c>
      <c r="L763" s="475"/>
    </row>
    <row r="764" spans="1:12" x14ac:dyDescent="0.2">
      <c r="A764" s="305">
        <v>89</v>
      </c>
      <c r="B764" s="485" t="s">
        <v>1152</v>
      </c>
      <c r="C764" s="476" t="s">
        <v>4637</v>
      </c>
      <c r="D764" s="464"/>
      <c r="E764" s="465" t="s">
        <v>2936</v>
      </c>
      <c r="F764" s="466" t="s">
        <v>2922</v>
      </c>
      <c r="G764" s="518"/>
      <c r="H764" s="477">
        <v>45054</v>
      </c>
      <c r="I764" s="488">
        <f t="shared" si="26"/>
        <v>15081121.62162162</v>
      </c>
      <c r="J764" s="488">
        <f t="shared" si="27"/>
        <v>1658923.3783783782</v>
      </c>
      <c r="K764" s="474">
        <f>9508455+2523960+4707630</f>
        <v>16740045</v>
      </c>
      <c r="L764" s="475"/>
    </row>
    <row r="765" spans="1:12" x14ac:dyDescent="0.2">
      <c r="A765" s="305">
        <v>90</v>
      </c>
      <c r="B765" s="469" t="s">
        <v>1153</v>
      </c>
      <c r="C765" s="476" t="s">
        <v>4594</v>
      </c>
      <c r="D765" s="464"/>
      <c r="E765" s="465" t="s">
        <v>2894</v>
      </c>
      <c r="F765" s="466" t="s">
        <v>2851</v>
      </c>
      <c r="G765" s="518"/>
      <c r="H765" s="477">
        <v>45049</v>
      </c>
      <c r="I765" s="473">
        <f t="shared" si="26"/>
        <v>31232918.918918915</v>
      </c>
      <c r="J765" s="473">
        <f t="shared" si="27"/>
        <v>3435621.0810810807</v>
      </c>
      <c r="K765" s="474">
        <f>14626656+3250368+16791516</f>
        <v>34668540</v>
      </c>
      <c r="L765" s="475"/>
    </row>
    <row r="766" spans="1:12" x14ac:dyDescent="0.2">
      <c r="A766" s="305">
        <v>91</v>
      </c>
      <c r="B766" s="485" t="s">
        <v>1154</v>
      </c>
      <c r="C766" s="476" t="s">
        <v>4592</v>
      </c>
      <c r="D766" s="464"/>
      <c r="E766" s="465" t="s">
        <v>2996</v>
      </c>
      <c r="F766" s="466" t="s">
        <v>2785</v>
      </c>
      <c r="G766" s="518"/>
      <c r="H766" s="477">
        <v>45049</v>
      </c>
      <c r="I766" s="488">
        <f t="shared" si="26"/>
        <v>28284016.216216214</v>
      </c>
      <c r="J766" s="488">
        <f t="shared" si="27"/>
        <v>3111241.7837837837</v>
      </c>
      <c r="K766" s="474">
        <f>11696400+7291953+12406905</f>
        <v>31395258</v>
      </c>
      <c r="L766" s="475"/>
    </row>
    <row r="767" spans="1:12" x14ac:dyDescent="0.2">
      <c r="A767" s="305">
        <v>92</v>
      </c>
      <c r="B767" s="469" t="s">
        <v>1155</v>
      </c>
      <c r="C767" s="476" t="s">
        <v>4688</v>
      </c>
      <c r="D767" s="464"/>
      <c r="E767" s="465" t="s">
        <v>2913</v>
      </c>
      <c r="F767" s="466" t="s">
        <v>2879</v>
      </c>
      <c r="G767" s="518"/>
      <c r="H767" s="477">
        <v>45049</v>
      </c>
      <c r="I767" s="473">
        <f t="shared" si="26"/>
        <v>10431881.081081079</v>
      </c>
      <c r="J767" s="473">
        <f t="shared" si="27"/>
        <v>1147506.9189189188</v>
      </c>
      <c r="K767" s="474">
        <f>8679960+1791396+1108032</f>
        <v>11579388</v>
      </c>
      <c r="L767" s="475"/>
    </row>
    <row r="768" spans="1:12" x14ac:dyDescent="0.2">
      <c r="A768" s="305">
        <v>93</v>
      </c>
      <c r="B768" s="485" t="s">
        <v>1156</v>
      </c>
      <c r="C768" s="476" t="s">
        <v>4641</v>
      </c>
      <c r="D768" s="464"/>
      <c r="E768" s="465" t="s">
        <v>3133</v>
      </c>
      <c r="F768" s="466" t="s">
        <v>2935</v>
      </c>
      <c r="G768" s="518"/>
      <c r="H768" s="477">
        <v>45049</v>
      </c>
      <c r="I768" s="488">
        <f t="shared" si="26"/>
        <v>11402464.864864863</v>
      </c>
      <c r="J768" s="488">
        <f t="shared" si="27"/>
        <v>1254271.1351351349</v>
      </c>
      <c r="K768" s="474">
        <f>3053376+9603360</f>
        <v>12656736</v>
      </c>
      <c r="L768" s="475"/>
    </row>
    <row r="769" spans="1:12" x14ac:dyDescent="0.2">
      <c r="A769" s="305">
        <v>94</v>
      </c>
      <c r="B769" s="469" t="s">
        <v>1157</v>
      </c>
      <c r="C769" s="476" t="s">
        <v>4656</v>
      </c>
      <c r="D769" s="464"/>
      <c r="E769" s="465" t="s">
        <v>6909</v>
      </c>
      <c r="F769" s="466" t="s">
        <v>2886</v>
      </c>
      <c r="G769" s="518"/>
      <c r="H769" s="477">
        <v>45049</v>
      </c>
      <c r="I769" s="473">
        <f t="shared" si="26"/>
        <v>13633783.783783782</v>
      </c>
      <c r="J769" s="473">
        <f t="shared" si="27"/>
        <v>1499716.2162162161</v>
      </c>
      <c r="K769" s="474">
        <f>7279470+6685416+1168614</f>
        <v>15133500</v>
      </c>
      <c r="L769" s="475"/>
    </row>
    <row r="770" spans="1:12" x14ac:dyDescent="0.2">
      <c r="A770" s="305">
        <v>95</v>
      </c>
      <c r="B770" s="485" t="s">
        <v>1158</v>
      </c>
      <c r="C770" s="476" t="s">
        <v>4589</v>
      </c>
      <c r="D770" s="464"/>
      <c r="E770" s="465" t="s">
        <v>3014</v>
      </c>
      <c r="F770" s="466" t="s">
        <v>3006</v>
      </c>
      <c r="G770" s="518"/>
      <c r="H770" s="477">
        <v>45049</v>
      </c>
      <c r="I770" s="488">
        <f t="shared" si="26"/>
        <v>1996540.5405405404</v>
      </c>
      <c r="J770" s="488">
        <f t="shared" si="27"/>
        <v>219619.45945945944</v>
      </c>
      <c r="K770" s="474">
        <v>2216160</v>
      </c>
      <c r="L770" s="475"/>
    </row>
    <row r="771" spans="1:12" x14ac:dyDescent="0.2">
      <c r="A771" s="305">
        <v>96</v>
      </c>
      <c r="B771" s="469" t="s">
        <v>1159</v>
      </c>
      <c r="C771" s="480" t="s">
        <v>4653</v>
      </c>
      <c r="D771" s="481"/>
      <c r="E771" s="482" t="s">
        <v>2948</v>
      </c>
      <c r="F771" s="483" t="s">
        <v>2892</v>
      </c>
      <c r="G771" s="518"/>
      <c r="H771" s="484">
        <v>45050</v>
      </c>
      <c r="I771" s="473">
        <f t="shared" si="26"/>
        <v>24263513.513513513</v>
      </c>
      <c r="J771" s="473">
        <f t="shared" si="27"/>
        <v>2668986.4864864866</v>
      </c>
      <c r="K771" s="474">
        <f>8926200+1138860+16867440</f>
        <v>26932500</v>
      </c>
      <c r="L771" s="475"/>
    </row>
    <row r="772" spans="1:12" x14ac:dyDescent="0.2">
      <c r="A772" s="305">
        <v>97</v>
      </c>
      <c r="B772" s="485" t="s">
        <v>1160</v>
      </c>
      <c r="C772" s="476" t="s">
        <v>4590</v>
      </c>
      <c r="D772" s="464"/>
      <c r="E772" s="471" t="s">
        <v>3954</v>
      </c>
      <c r="F772" s="471" t="s">
        <v>3568</v>
      </c>
      <c r="G772" s="518"/>
      <c r="H772" s="477">
        <v>45050</v>
      </c>
      <c r="I772" s="488">
        <f t="shared" si="26"/>
        <v>472972.97297297296</v>
      </c>
      <c r="J772" s="488">
        <f t="shared" si="27"/>
        <v>52027.027027027027</v>
      </c>
      <c r="K772" s="474">
        <v>525000</v>
      </c>
      <c r="L772" s="475"/>
    </row>
    <row r="773" spans="1:12" x14ac:dyDescent="0.2">
      <c r="A773" s="305">
        <v>98</v>
      </c>
      <c r="B773" s="469" t="s">
        <v>1161</v>
      </c>
      <c r="C773" s="476" t="s">
        <v>4722</v>
      </c>
      <c r="D773" s="464"/>
      <c r="E773" s="465" t="s">
        <v>2889</v>
      </c>
      <c r="F773" s="466" t="s">
        <v>2808</v>
      </c>
      <c r="G773" s="518"/>
      <c r="H773" s="477">
        <v>45054</v>
      </c>
      <c r="I773" s="473">
        <f t="shared" si="26"/>
        <v>90845983.783783779</v>
      </c>
      <c r="J773" s="473">
        <f t="shared" si="27"/>
        <v>9993058.2162162159</v>
      </c>
      <c r="K773" s="474">
        <f>49849920+18399258+32589864</f>
        <v>100839042</v>
      </c>
      <c r="L773" s="475"/>
    </row>
    <row r="774" spans="1:12" x14ac:dyDescent="0.2">
      <c r="A774" s="305">
        <v>99</v>
      </c>
      <c r="B774" s="485" t="s">
        <v>1162</v>
      </c>
      <c r="C774" s="476" t="s">
        <v>4593</v>
      </c>
      <c r="D774" s="464"/>
      <c r="E774" s="465" t="s">
        <v>3003</v>
      </c>
      <c r="F774" s="466" t="s">
        <v>2953</v>
      </c>
      <c r="G774" s="518"/>
      <c r="H774" s="477">
        <v>45057</v>
      </c>
      <c r="I774" s="488">
        <f t="shared" si="26"/>
        <v>194108.10810810808</v>
      </c>
      <c r="J774" s="488">
        <f t="shared" si="27"/>
        <v>21351.89189189189</v>
      </c>
      <c r="K774" s="474">
        <v>215460</v>
      </c>
      <c r="L774" s="475"/>
    </row>
    <row r="775" spans="1:12" x14ac:dyDescent="0.2">
      <c r="A775" s="305">
        <v>100</v>
      </c>
      <c r="B775" s="469" t="s">
        <v>1163</v>
      </c>
      <c r="C775" s="476" t="s">
        <v>4670</v>
      </c>
      <c r="D775" s="464"/>
      <c r="E775" s="465" t="s">
        <v>2941</v>
      </c>
      <c r="F775" s="466" t="s">
        <v>2785</v>
      </c>
      <c r="G775" s="518"/>
      <c r="H775" s="477">
        <v>45058</v>
      </c>
      <c r="I775" s="473">
        <f t="shared" si="26"/>
        <v>909535.13513513503</v>
      </c>
      <c r="J775" s="473">
        <f t="shared" si="27"/>
        <v>100048.86486486485</v>
      </c>
      <c r="K775" s="474">
        <f>209304+800280</f>
        <v>1009584</v>
      </c>
      <c r="L775" s="475"/>
    </row>
    <row r="776" spans="1:12" x14ac:dyDescent="0.2">
      <c r="A776" s="305">
        <v>101</v>
      </c>
      <c r="B776" s="485" t="s">
        <v>1164</v>
      </c>
      <c r="C776" s="476" t="s">
        <v>4625</v>
      </c>
      <c r="D776" s="464"/>
      <c r="E776" s="465" t="s">
        <v>2996</v>
      </c>
      <c r="F776" s="466" t="s">
        <v>2785</v>
      </c>
      <c r="G776" s="518"/>
      <c r="H776" s="477">
        <v>45056</v>
      </c>
      <c r="I776" s="488">
        <f t="shared" si="26"/>
        <v>59975399.999999993</v>
      </c>
      <c r="J776" s="488">
        <f t="shared" si="27"/>
        <v>6597293.9999999991</v>
      </c>
      <c r="K776" s="474">
        <f>1303875+57770811+7498008</f>
        <v>66572694</v>
      </c>
      <c r="L776" s="475"/>
    </row>
    <row r="777" spans="1:12" x14ac:dyDescent="0.2">
      <c r="A777" s="305">
        <v>102</v>
      </c>
      <c r="B777" s="469" t="s">
        <v>1165</v>
      </c>
      <c r="C777" s="476" t="s">
        <v>4627</v>
      </c>
      <c r="D777" s="464"/>
      <c r="E777" s="465" t="s">
        <v>3112</v>
      </c>
      <c r="F777" s="466" t="s">
        <v>2955</v>
      </c>
      <c r="G777" s="518"/>
      <c r="H777" s="477">
        <v>45054</v>
      </c>
      <c r="I777" s="473">
        <f t="shared" si="26"/>
        <v>9634232.4324324317</v>
      </c>
      <c r="J777" s="473">
        <f t="shared" si="27"/>
        <v>1059765.5675675676</v>
      </c>
      <c r="K777" s="474">
        <f>8252118+1164510+1277370</f>
        <v>10693998</v>
      </c>
      <c r="L777" s="475"/>
    </row>
    <row r="778" spans="1:12" x14ac:dyDescent="0.2">
      <c r="A778" s="305">
        <v>103</v>
      </c>
      <c r="B778" s="485" t="s">
        <v>1166</v>
      </c>
      <c r="C778" s="476" t="s">
        <v>4720</v>
      </c>
      <c r="D778" s="464"/>
      <c r="E778" s="465" t="s">
        <v>2907</v>
      </c>
      <c r="F778" s="466" t="s">
        <v>3047</v>
      </c>
      <c r="G778" s="518"/>
      <c r="H778" s="477">
        <v>45054</v>
      </c>
      <c r="I778" s="488">
        <f t="shared" si="26"/>
        <v>2276302.7027027025</v>
      </c>
      <c r="J778" s="488">
        <f t="shared" si="27"/>
        <v>250393.29729729728</v>
      </c>
      <c r="K778" s="474">
        <f>1063791+1462905</f>
        <v>2526696</v>
      </c>
      <c r="L778" s="475"/>
    </row>
    <row r="779" spans="1:12" x14ac:dyDescent="0.2">
      <c r="A779" s="305">
        <v>104</v>
      </c>
      <c r="B779" s="469" t="s">
        <v>1167</v>
      </c>
      <c r="C779" s="476" t="s">
        <v>4687</v>
      </c>
      <c r="D779" s="464"/>
      <c r="E779" s="465" t="s">
        <v>2907</v>
      </c>
      <c r="F779" s="466" t="s">
        <v>2792</v>
      </c>
      <c r="G779" s="518"/>
      <c r="H779" s="477">
        <v>45054</v>
      </c>
      <c r="I779" s="473">
        <f t="shared" si="26"/>
        <v>3227187.387387387</v>
      </c>
      <c r="J779" s="473">
        <f t="shared" si="27"/>
        <v>354990.61261261255</v>
      </c>
      <c r="K779" s="474">
        <f>430920+2496258+655000</f>
        <v>3582178</v>
      </c>
      <c r="L779" s="475"/>
    </row>
    <row r="780" spans="1:12" x14ac:dyDescent="0.2">
      <c r="A780" s="305">
        <v>105</v>
      </c>
      <c r="B780" s="485" t="s">
        <v>1168</v>
      </c>
      <c r="C780" s="476" t="s">
        <v>4842</v>
      </c>
      <c r="D780" s="464"/>
      <c r="E780" s="465" t="s">
        <v>2921</v>
      </c>
      <c r="F780" s="466" t="s">
        <v>2922</v>
      </c>
      <c r="G780" s="518"/>
      <c r="H780" s="477">
        <v>45054</v>
      </c>
      <c r="I780" s="488">
        <f t="shared" si="26"/>
        <v>7860454.0540540535</v>
      </c>
      <c r="J780" s="488">
        <f t="shared" si="27"/>
        <v>864649.94594594592</v>
      </c>
      <c r="K780" s="474">
        <f>240084+8485020</f>
        <v>8725104</v>
      </c>
      <c r="L780" s="475"/>
    </row>
    <row r="781" spans="1:12" x14ac:dyDescent="0.2">
      <c r="A781" s="305">
        <v>106</v>
      </c>
      <c r="B781" s="469" t="s">
        <v>1169</v>
      </c>
      <c r="C781" s="476" t="s">
        <v>4630</v>
      </c>
      <c r="D781" s="464"/>
      <c r="E781" s="465" t="s">
        <v>3164</v>
      </c>
      <c r="F781" s="466" t="s">
        <v>2928</v>
      </c>
      <c r="G781" s="518"/>
      <c r="H781" s="477">
        <v>45055</v>
      </c>
      <c r="I781" s="473">
        <f t="shared" si="26"/>
        <v>7945029.7297297288</v>
      </c>
      <c r="J781" s="473">
        <f t="shared" si="27"/>
        <v>873953.27027027018</v>
      </c>
      <c r="K781" s="474">
        <f>861840+4801680+3155463</f>
        <v>8818983</v>
      </c>
      <c r="L781" s="475"/>
    </row>
    <row r="782" spans="1:12" x14ac:dyDescent="0.2">
      <c r="A782" s="305">
        <v>107</v>
      </c>
      <c r="B782" s="485" t="s">
        <v>1170</v>
      </c>
      <c r="C782" s="480" t="s">
        <v>4658</v>
      </c>
      <c r="D782" s="481"/>
      <c r="E782" s="482" t="s">
        <v>5201</v>
      </c>
      <c r="F782" s="483" t="s">
        <v>3047</v>
      </c>
      <c r="G782" s="518"/>
      <c r="H782" s="484">
        <v>45055</v>
      </c>
      <c r="I782" s="488">
        <f t="shared" si="26"/>
        <v>793693.69369369361</v>
      </c>
      <c r="J782" s="488">
        <f t="shared" si="27"/>
        <v>87306.306306306302</v>
      </c>
      <c r="K782" s="474">
        <f>100000+781000</f>
        <v>881000</v>
      </c>
      <c r="L782" s="475"/>
    </row>
    <row r="783" spans="1:12" x14ac:dyDescent="0.2">
      <c r="A783" s="305">
        <v>108</v>
      </c>
      <c r="B783" s="469" t="s">
        <v>1171</v>
      </c>
      <c r="C783" s="476" t="s">
        <v>4600</v>
      </c>
      <c r="D783" s="464"/>
      <c r="E783" s="471" t="s">
        <v>4294</v>
      </c>
      <c r="F783" s="471" t="s">
        <v>3018</v>
      </c>
      <c r="G783" s="518"/>
      <c r="H783" s="477">
        <v>45055</v>
      </c>
      <c r="I783" s="473">
        <f t="shared" si="26"/>
        <v>1109953.1531531531</v>
      </c>
      <c r="J783" s="473">
        <f t="shared" si="27"/>
        <v>122094.84684684685</v>
      </c>
      <c r="K783" s="474">
        <v>1232048</v>
      </c>
      <c r="L783" s="475"/>
    </row>
    <row r="784" spans="1:12" x14ac:dyDescent="0.2">
      <c r="A784" s="305">
        <v>109</v>
      </c>
      <c r="B784" s="485" t="s">
        <v>1172</v>
      </c>
      <c r="C784" s="476" t="s">
        <v>4623</v>
      </c>
      <c r="D784" s="464"/>
      <c r="E784" s="465" t="s">
        <v>2970</v>
      </c>
      <c r="F784" s="466" t="s">
        <v>2946</v>
      </c>
      <c r="G784" s="518"/>
      <c r="H784" s="477">
        <v>45055</v>
      </c>
      <c r="I784" s="488">
        <f t="shared" si="26"/>
        <v>4938202.702702702</v>
      </c>
      <c r="J784" s="488">
        <f t="shared" si="27"/>
        <v>543202.29729729728</v>
      </c>
      <c r="K784" s="474">
        <f>2187432+3293973</f>
        <v>5481405</v>
      </c>
      <c r="L784" s="475"/>
    </row>
    <row r="785" spans="1:12" x14ac:dyDescent="0.2">
      <c r="A785" s="305">
        <v>110</v>
      </c>
      <c r="B785" s="469" t="s">
        <v>1173</v>
      </c>
      <c r="C785" s="476" t="s">
        <v>4683</v>
      </c>
      <c r="D785" s="464"/>
      <c r="E785" s="465" t="s">
        <v>2954</v>
      </c>
      <c r="F785" s="466" t="s">
        <v>2955</v>
      </c>
      <c r="G785" s="518"/>
      <c r="H785" s="477">
        <v>45055</v>
      </c>
      <c r="I785" s="473">
        <f t="shared" si="26"/>
        <v>6830294.5945945941</v>
      </c>
      <c r="J785" s="473">
        <f t="shared" si="27"/>
        <v>751332.40540540533</v>
      </c>
      <c r="K785" s="474">
        <f>2322351+4361526+897750</f>
        <v>7581627</v>
      </c>
      <c r="L785" s="475"/>
    </row>
    <row r="786" spans="1:12" x14ac:dyDescent="0.2">
      <c r="A786" s="305">
        <v>111</v>
      </c>
      <c r="B786" s="485" t="s">
        <v>1174</v>
      </c>
      <c r="C786" s="476" t="s">
        <v>4689</v>
      </c>
      <c r="D786" s="464"/>
      <c r="E786" s="465" t="s">
        <v>3122</v>
      </c>
      <c r="F786" s="466" t="s">
        <v>2946</v>
      </c>
      <c r="G786" s="518"/>
      <c r="H786" s="477">
        <v>45055</v>
      </c>
      <c r="I786" s="488">
        <f t="shared" si="26"/>
        <v>1581904.5045045044</v>
      </c>
      <c r="J786" s="488">
        <f t="shared" si="27"/>
        <v>174009.49549549547</v>
      </c>
      <c r="K786" s="474">
        <f>490172+1265742</f>
        <v>1755914</v>
      </c>
      <c r="L786" s="475"/>
    </row>
    <row r="787" spans="1:12" x14ac:dyDescent="0.2">
      <c r="A787" s="305">
        <v>112</v>
      </c>
      <c r="B787" s="469" t="s">
        <v>1175</v>
      </c>
      <c r="C787" s="476" t="s">
        <v>4629</v>
      </c>
      <c r="D787" s="464"/>
      <c r="E787" s="465" t="s">
        <v>3046</v>
      </c>
      <c r="F787" s="466" t="s">
        <v>3047</v>
      </c>
      <c r="G787" s="518"/>
      <c r="H787" s="477">
        <v>45026</v>
      </c>
      <c r="I787" s="473">
        <f t="shared" si="26"/>
        <v>5325225.2252252251</v>
      </c>
      <c r="J787" s="473">
        <f t="shared" si="27"/>
        <v>585774.77477477479</v>
      </c>
      <c r="K787" s="474">
        <f>1760000+3000000+1151000</f>
        <v>5911000</v>
      </c>
      <c r="L787" s="475"/>
    </row>
    <row r="788" spans="1:12" x14ac:dyDescent="0.2">
      <c r="A788" s="305">
        <v>113</v>
      </c>
      <c r="B788" s="485" t="s">
        <v>1176</v>
      </c>
      <c r="C788" s="476" t="s">
        <v>4604</v>
      </c>
      <c r="D788" s="464"/>
      <c r="E788" s="465" t="s">
        <v>4605</v>
      </c>
      <c r="F788" s="466" t="s">
        <v>2851</v>
      </c>
      <c r="G788" s="518"/>
      <c r="H788" s="477">
        <v>45056</v>
      </c>
      <c r="I788" s="488">
        <f t="shared" si="26"/>
        <v>2134034.2342342339</v>
      </c>
      <c r="J788" s="488">
        <f t="shared" si="27"/>
        <v>234743.76576576571</v>
      </c>
      <c r="K788" s="474">
        <v>2368778</v>
      </c>
      <c r="L788" s="475"/>
    </row>
    <row r="789" spans="1:12" x14ac:dyDescent="0.2">
      <c r="A789" s="305">
        <v>114</v>
      </c>
      <c r="B789" s="469" t="s">
        <v>1177</v>
      </c>
      <c r="C789" s="476" t="s">
        <v>4606</v>
      </c>
      <c r="D789" s="464"/>
      <c r="E789" s="465" t="s">
        <v>3581</v>
      </c>
      <c r="F789" s="466" t="s">
        <v>2944</v>
      </c>
      <c r="G789" s="518"/>
      <c r="H789" s="477">
        <v>45057</v>
      </c>
      <c r="I789" s="473">
        <f t="shared" si="26"/>
        <v>1351351.3513513512</v>
      </c>
      <c r="J789" s="473">
        <f t="shared" si="27"/>
        <v>148648.64864864864</v>
      </c>
      <c r="K789" s="474">
        <v>1500000</v>
      </c>
      <c r="L789" s="475"/>
    </row>
    <row r="790" spans="1:12" x14ac:dyDescent="0.2">
      <c r="A790" s="305">
        <v>115</v>
      </c>
      <c r="B790" s="485" t="s">
        <v>1178</v>
      </c>
      <c r="C790" s="476" t="s">
        <v>4607</v>
      </c>
      <c r="D790" s="464"/>
      <c r="E790" s="465" t="s">
        <v>4341</v>
      </c>
      <c r="F790" s="466" t="s">
        <v>2946</v>
      </c>
      <c r="G790" s="518"/>
      <c r="H790" s="477">
        <v>45058</v>
      </c>
      <c r="I790" s="488">
        <f t="shared" si="26"/>
        <v>729729.7297297297</v>
      </c>
      <c r="J790" s="488">
        <f t="shared" si="27"/>
        <v>80270.270270270266</v>
      </c>
      <c r="K790" s="474">
        <v>810000</v>
      </c>
      <c r="L790" s="475"/>
    </row>
    <row r="791" spans="1:12" x14ac:dyDescent="0.2">
      <c r="A791" s="305">
        <v>116</v>
      </c>
      <c r="B791" s="469" t="s">
        <v>1179</v>
      </c>
      <c r="C791" s="476" t="s">
        <v>4608</v>
      </c>
      <c r="D791" s="464"/>
      <c r="E791" s="465" t="s">
        <v>4609</v>
      </c>
      <c r="F791" s="466" t="s">
        <v>2828</v>
      </c>
      <c r="G791" s="518"/>
      <c r="H791" s="477">
        <v>45058</v>
      </c>
      <c r="I791" s="473">
        <f t="shared" si="26"/>
        <v>188562.16216216216</v>
      </c>
      <c r="J791" s="473">
        <f t="shared" si="27"/>
        <v>20741.837837837837</v>
      </c>
      <c r="K791" s="474">
        <v>209304</v>
      </c>
      <c r="L791" s="475"/>
    </row>
    <row r="792" spans="1:12" x14ac:dyDescent="0.2">
      <c r="A792" s="305">
        <v>117</v>
      </c>
      <c r="B792" s="485" t="s">
        <v>1180</v>
      </c>
      <c r="C792" s="476" t="s">
        <v>4611</v>
      </c>
      <c r="D792" s="464"/>
      <c r="E792" s="465" t="s">
        <v>4610</v>
      </c>
      <c r="F792" s="466" t="s">
        <v>2828</v>
      </c>
      <c r="G792" s="518"/>
      <c r="H792" s="477">
        <v>45058</v>
      </c>
      <c r="I792" s="488">
        <f t="shared" si="26"/>
        <v>3091891.8918918916</v>
      </c>
      <c r="J792" s="488">
        <f t="shared" si="27"/>
        <v>340108.10810810811</v>
      </c>
      <c r="K792" s="474">
        <v>3432000</v>
      </c>
      <c r="L792" s="475"/>
    </row>
    <row r="793" spans="1:12" x14ac:dyDescent="0.2">
      <c r="A793" s="305">
        <v>118</v>
      </c>
      <c r="B793" s="469" t="s">
        <v>1181</v>
      </c>
      <c r="C793" s="480" t="s">
        <v>4612</v>
      </c>
      <c r="D793" s="481"/>
      <c r="E793" s="482" t="s">
        <v>3474</v>
      </c>
      <c r="F793" s="483" t="s">
        <v>2755</v>
      </c>
      <c r="G793" s="513"/>
      <c r="H793" s="484">
        <v>45058</v>
      </c>
      <c r="I793" s="473">
        <f t="shared" si="26"/>
        <v>4754752.2522522518</v>
      </c>
      <c r="J793" s="473">
        <f t="shared" si="27"/>
        <v>523022.74774774769</v>
      </c>
      <c r="K793" s="474">
        <v>5277775</v>
      </c>
      <c r="L793" s="475"/>
    </row>
    <row r="794" spans="1:12" x14ac:dyDescent="0.2">
      <c r="A794" s="305">
        <v>119</v>
      </c>
      <c r="B794" s="485" t="s">
        <v>1182</v>
      </c>
      <c r="C794" s="476" t="s">
        <v>4728</v>
      </c>
      <c r="D794" s="464"/>
      <c r="E794" s="471" t="s">
        <v>3527</v>
      </c>
      <c r="F794" s="471" t="s">
        <v>2922</v>
      </c>
      <c r="G794" s="464"/>
      <c r="H794" s="477">
        <v>45059</v>
      </c>
      <c r="I794" s="488">
        <f t="shared" si="26"/>
        <v>17654065.765765764</v>
      </c>
      <c r="J794" s="488">
        <f t="shared" si="27"/>
        <v>1941947.2342342341</v>
      </c>
      <c r="K794" s="474">
        <f>7507681+1342008+10746324</f>
        <v>19596013</v>
      </c>
      <c r="L794" s="475"/>
    </row>
    <row r="795" spans="1:12" x14ac:dyDescent="0.2">
      <c r="A795" s="305">
        <v>120</v>
      </c>
      <c r="B795" s="469" t="s">
        <v>1183</v>
      </c>
      <c r="C795" s="476" t="s">
        <v>4628</v>
      </c>
      <c r="D795" s="464"/>
      <c r="E795" s="465" t="s">
        <v>2907</v>
      </c>
      <c r="F795" s="466" t="s">
        <v>2908</v>
      </c>
      <c r="G795" s="464"/>
      <c r="H795" s="477">
        <v>45059</v>
      </c>
      <c r="I795" s="473">
        <f t="shared" si="26"/>
        <v>9076601.8018018007</v>
      </c>
      <c r="J795" s="473">
        <f t="shared" si="27"/>
        <v>998426.19819819811</v>
      </c>
      <c r="K795" s="474">
        <f>406296+2745576+6923156</f>
        <v>10075028</v>
      </c>
      <c r="L795" s="475"/>
    </row>
    <row r="796" spans="1:12" x14ac:dyDescent="0.2">
      <c r="A796" s="305">
        <v>121</v>
      </c>
      <c r="B796" s="485" t="s">
        <v>1184</v>
      </c>
      <c r="C796" s="476" t="s">
        <v>4613</v>
      </c>
      <c r="D796" s="464"/>
      <c r="E796" s="465" t="s">
        <v>3533</v>
      </c>
      <c r="F796" s="466" t="s">
        <v>2922</v>
      </c>
      <c r="G796" s="464"/>
      <c r="H796" s="477">
        <v>45061</v>
      </c>
      <c r="I796" s="488">
        <f t="shared" si="26"/>
        <v>610054.05405405397</v>
      </c>
      <c r="J796" s="488">
        <f t="shared" si="27"/>
        <v>67105.945945945932</v>
      </c>
      <c r="K796" s="474">
        <v>677160</v>
      </c>
      <c r="L796" s="475"/>
    </row>
    <row r="797" spans="1:12" x14ac:dyDescent="0.2">
      <c r="A797" s="305">
        <v>122</v>
      </c>
      <c r="B797" s="469" t="s">
        <v>1185</v>
      </c>
      <c r="C797" s="476" t="s">
        <v>4721</v>
      </c>
      <c r="D797" s="464"/>
      <c r="E797" s="465" t="s">
        <v>3020</v>
      </c>
      <c r="F797" s="466" t="s">
        <v>3021</v>
      </c>
      <c r="G797" s="464"/>
      <c r="H797" s="477">
        <v>45063</v>
      </c>
      <c r="I797" s="473">
        <f t="shared" si="26"/>
        <v>19591978.378378376</v>
      </c>
      <c r="J797" s="473">
        <f t="shared" si="27"/>
        <v>2155117.6216216213</v>
      </c>
      <c r="K797" s="474">
        <f>12521304+9225792</f>
        <v>21747096</v>
      </c>
      <c r="L797" s="475"/>
    </row>
    <row r="798" spans="1:12" x14ac:dyDescent="0.2">
      <c r="A798" s="305">
        <v>123</v>
      </c>
      <c r="B798" s="485" t="s">
        <v>1186</v>
      </c>
      <c r="C798" s="476" t="s">
        <v>4644</v>
      </c>
      <c r="D798" s="464"/>
      <c r="E798" s="465" t="s">
        <v>2950</v>
      </c>
      <c r="F798" s="466" t="s">
        <v>2951</v>
      </c>
      <c r="G798" s="464"/>
      <c r="H798" s="477">
        <v>45062</v>
      </c>
      <c r="I798" s="488">
        <f t="shared" si="26"/>
        <v>9582470.2702702694</v>
      </c>
      <c r="J798" s="488">
        <f t="shared" si="27"/>
        <v>1054071.7297297297</v>
      </c>
      <c r="K798" s="474">
        <f>2538324+8098218</f>
        <v>10636542</v>
      </c>
      <c r="L798" s="475"/>
    </row>
    <row r="799" spans="1:12" x14ac:dyDescent="0.2">
      <c r="A799" s="305">
        <v>124</v>
      </c>
      <c r="B799" s="469" t="s">
        <v>1187</v>
      </c>
      <c r="C799" s="476" t="s">
        <v>4614</v>
      </c>
      <c r="D799" s="464"/>
      <c r="E799" s="465" t="s">
        <v>3454</v>
      </c>
      <c r="F799" s="466" t="s">
        <v>2944</v>
      </c>
      <c r="G799" s="464"/>
      <c r="H799" s="477">
        <v>45062</v>
      </c>
      <c r="I799" s="473">
        <f t="shared" si="26"/>
        <v>634234.2342342342</v>
      </c>
      <c r="J799" s="473">
        <f t="shared" si="27"/>
        <v>69765.765765765769</v>
      </c>
      <c r="K799" s="474">
        <v>704000</v>
      </c>
      <c r="L799" s="475"/>
    </row>
    <row r="800" spans="1:12" x14ac:dyDescent="0.2">
      <c r="A800" s="305">
        <v>125</v>
      </c>
      <c r="B800" s="485" t="s">
        <v>1188</v>
      </c>
      <c r="C800" s="476" t="s">
        <v>4616</v>
      </c>
      <c r="D800" s="464"/>
      <c r="E800" s="465" t="s">
        <v>3529</v>
      </c>
      <c r="F800" s="466" t="s">
        <v>2935</v>
      </c>
      <c r="G800" s="464"/>
      <c r="H800" s="477">
        <v>45065</v>
      </c>
      <c r="I800" s="488">
        <f t="shared" si="26"/>
        <v>3049435.1351351347</v>
      </c>
      <c r="J800" s="488">
        <f t="shared" si="27"/>
        <v>335437.86486486479</v>
      </c>
      <c r="K800" s="474">
        <v>3384873</v>
      </c>
      <c r="L800" s="475"/>
    </row>
    <row r="801" spans="1:12" x14ac:dyDescent="0.2">
      <c r="A801" s="305">
        <v>126</v>
      </c>
      <c r="B801" s="469" t="s">
        <v>1189</v>
      </c>
      <c r="C801" s="476" t="s">
        <v>4685</v>
      </c>
      <c r="D801" s="464"/>
      <c r="E801" s="465" t="s">
        <v>2914</v>
      </c>
      <c r="F801" s="466" t="s">
        <v>2915</v>
      </c>
      <c r="G801" s="464"/>
      <c r="H801" s="477">
        <v>45066</v>
      </c>
      <c r="I801" s="473">
        <f t="shared" si="26"/>
        <v>3215991.8918918916</v>
      </c>
      <c r="J801" s="473">
        <f t="shared" si="27"/>
        <v>353759.10810810811</v>
      </c>
      <c r="K801" s="474">
        <f>1636254+1625697+307800</f>
        <v>3569751</v>
      </c>
      <c r="L801" s="475"/>
    </row>
    <row r="802" spans="1:12" x14ac:dyDescent="0.2">
      <c r="A802" s="305">
        <v>127</v>
      </c>
      <c r="B802" s="485" t="s">
        <v>1190</v>
      </c>
      <c r="C802" s="476" t="s">
        <v>4736</v>
      </c>
      <c r="D802" s="464"/>
      <c r="E802" s="465" t="s">
        <v>2981</v>
      </c>
      <c r="F802" s="466" t="s">
        <v>2982</v>
      </c>
      <c r="G802" s="464"/>
      <c r="H802" s="477">
        <v>45066</v>
      </c>
      <c r="I802" s="488">
        <f t="shared" si="26"/>
        <v>22727286.486486483</v>
      </c>
      <c r="J802" s="488">
        <f t="shared" si="27"/>
        <v>2500001.5135135134</v>
      </c>
      <c r="K802" s="474">
        <f>9603360+13333896+2290032</f>
        <v>25227288</v>
      </c>
      <c r="L802" s="475"/>
    </row>
    <row r="803" spans="1:12" x14ac:dyDescent="0.2">
      <c r="A803" s="305">
        <v>128</v>
      </c>
      <c r="B803" s="469" t="s">
        <v>1191</v>
      </c>
      <c r="C803" s="476" t="s">
        <v>4617</v>
      </c>
      <c r="D803" s="464"/>
      <c r="E803" s="465" t="s">
        <v>4618</v>
      </c>
      <c r="F803" s="466" t="s">
        <v>3018</v>
      </c>
      <c r="G803" s="464"/>
      <c r="H803" s="477">
        <v>45066</v>
      </c>
      <c r="I803" s="473">
        <f t="shared" si="26"/>
        <v>360486.48648648645</v>
      </c>
      <c r="J803" s="473">
        <f t="shared" si="27"/>
        <v>39653.513513513513</v>
      </c>
      <c r="K803" s="474">
        <v>400140</v>
      </c>
      <c r="L803" s="475"/>
    </row>
    <row r="804" spans="1:12" x14ac:dyDescent="0.2">
      <c r="A804" s="305">
        <v>129</v>
      </c>
      <c r="B804" s="485" t="s">
        <v>1192</v>
      </c>
      <c r="C804" s="480" t="s">
        <v>4662</v>
      </c>
      <c r="D804" s="481"/>
      <c r="E804" s="482" t="s">
        <v>2881</v>
      </c>
      <c r="F804" s="483" t="s">
        <v>2808</v>
      </c>
      <c r="G804" s="513"/>
      <c r="H804" s="484">
        <v>45058</v>
      </c>
      <c r="I804" s="488">
        <f t="shared" si="26"/>
        <v>17165164.864864863</v>
      </c>
      <c r="J804" s="488">
        <f t="shared" si="27"/>
        <v>1888168.1351351349</v>
      </c>
      <c r="K804" s="474">
        <f>2560896+7678242+8814195</f>
        <v>19053333</v>
      </c>
      <c r="L804" s="475"/>
    </row>
    <row r="805" spans="1:12" x14ac:dyDescent="0.2">
      <c r="A805" s="305">
        <v>130</v>
      </c>
      <c r="B805" s="469" t="s">
        <v>1193</v>
      </c>
      <c r="C805" s="476" t="s">
        <v>4633</v>
      </c>
      <c r="D805" s="464"/>
      <c r="E805" s="471" t="s">
        <v>2968</v>
      </c>
      <c r="F805" s="471" t="s">
        <v>2969</v>
      </c>
      <c r="G805" s="464"/>
      <c r="H805" s="477">
        <v>45061</v>
      </c>
      <c r="I805" s="473">
        <f t="shared" si="26"/>
        <v>7072929.7297297288</v>
      </c>
      <c r="J805" s="473">
        <f t="shared" si="27"/>
        <v>778022.27027027018</v>
      </c>
      <c r="K805" s="474">
        <f>2052000+5798952</f>
        <v>7850952</v>
      </c>
      <c r="L805" s="475"/>
    </row>
    <row r="806" spans="1:12" x14ac:dyDescent="0.2">
      <c r="A806" s="305">
        <v>131</v>
      </c>
      <c r="B806" s="485" t="s">
        <v>1194</v>
      </c>
      <c r="C806" s="476" t="s">
        <v>4626</v>
      </c>
      <c r="D806" s="464"/>
      <c r="E806" s="465" t="s">
        <v>2921</v>
      </c>
      <c r="F806" s="466" t="s">
        <v>2922</v>
      </c>
      <c r="G806" s="464"/>
      <c r="H806" s="477">
        <v>45061</v>
      </c>
      <c r="I806" s="488">
        <f t="shared" ref="I806:I864" si="28">K806/1.11</f>
        <v>1064821.6216216215</v>
      </c>
      <c r="J806" s="488">
        <f t="shared" ref="J806:J864" si="29">I806*11%</f>
        <v>117130.37837837837</v>
      </c>
      <c r="K806" s="474">
        <v>1181952</v>
      </c>
      <c r="L806" s="475"/>
    </row>
    <row r="807" spans="1:12" x14ac:dyDescent="0.2">
      <c r="A807" s="305">
        <v>132</v>
      </c>
      <c r="B807" s="469" t="s">
        <v>1195</v>
      </c>
      <c r="C807" s="476" t="s">
        <v>4649</v>
      </c>
      <c r="D807" s="464"/>
      <c r="E807" s="465" t="s">
        <v>2907</v>
      </c>
      <c r="F807" s="466" t="s">
        <v>2858</v>
      </c>
      <c r="G807" s="464"/>
      <c r="H807" s="477">
        <v>45061</v>
      </c>
      <c r="I807" s="473">
        <f t="shared" si="28"/>
        <v>23549627.027027026</v>
      </c>
      <c r="J807" s="473">
        <f t="shared" si="29"/>
        <v>2590458.9729729728</v>
      </c>
      <c r="K807" s="474">
        <f>1067040+17244666+7828380</f>
        <v>26140086</v>
      </c>
      <c r="L807" s="475"/>
    </row>
    <row r="808" spans="1:12" x14ac:dyDescent="0.2">
      <c r="A808" s="305">
        <v>133</v>
      </c>
      <c r="B808" s="485" t="s">
        <v>1196</v>
      </c>
      <c r="C808" s="476" t="s">
        <v>4676</v>
      </c>
      <c r="D808" s="464"/>
      <c r="E808" s="465" t="s">
        <v>2894</v>
      </c>
      <c r="F808" s="466" t="s">
        <v>2851</v>
      </c>
      <c r="G808" s="464"/>
      <c r="H808" s="477">
        <v>45063</v>
      </c>
      <c r="I808" s="488">
        <f t="shared" si="28"/>
        <v>20089264.864864863</v>
      </c>
      <c r="J808" s="488">
        <f t="shared" si="29"/>
        <v>2209819.1351351351</v>
      </c>
      <c r="K808" s="474">
        <f>3213432+1179900+17905752</f>
        <v>22299084</v>
      </c>
      <c r="L808" s="475"/>
    </row>
    <row r="809" spans="1:12" x14ac:dyDescent="0.2">
      <c r="A809" s="305">
        <v>134</v>
      </c>
      <c r="B809" s="469" t="s">
        <v>1197</v>
      </c>
      <c r="C809" s="476" t="s">
        <v>4668</v>
      </c>
      <c r="D809" s="464"/>
      <c r="E809" s="465" t="s">
        <v>2893</v>
      </c>
      <c r="F809" s="466" t="s">
        <v>2890</v>
      </c>
      <c r="G809" s="464"/>
      <c r="H809" s="477">
        <v>45063</v>
      </c>
      <c r="I809" s="473">
        <f t="shared" si="28"/>
        <v>11296167.567567566</v>
      </c>
      <c r="J809" s="473">
        <f t="shared" si="29"/>
        <v>1242578.4324324324</v>
      </c>
      <c r="K809" s="474">
        <f>4875552+6431994+1231200</f>
        <v>12538746</v>
      </c>
      <c r="L809" s="475"/>
    </row>
    <row r="810" spans="1:12" x14ac:dyDescent="0.2">
      <c r="A810" s="305">
        <v>135</v>
      </c>
      <c r="B810" s="485" t="s">
        <v>1198</v>
      </c>
      <c r="C810" s="476" t="s">
        <v>4740</v>
      </c>
      <c r="D810" s="464"/>
      <c r="E810" s="465" t="s">
        <v>3130</v>
      </c>
      <c r="F810" s="466" t="s">
        <v>2873</v>
      </c>
      <c r="G810" s="464"/>
      <c r="H810" s="477">
        <v>45063</v>
      </c>
      <c r="I810" s="488">
        <f t="shared" si="28"/>
        <v>3859978.3783783782</v>
      </c>
      <c r="J810" s="488">
        <f t="shared" si="29"/>
        <v>424597.6216216216</v>
      </c>
      <c r="K810" s="474">
        <f>3324240+960336</f>
        <v>4284576</v>
      </c>
      <c r="L810" s="475"/>
    </row>
    <row r="811" spans="1:12" x14ac:dyDescent="0.2">
      <c r="A811" s="305">
        <v>136</v>
      </c>
      <c r="B811" s="469" t="s">
        <v>1199</v>
      </c>
      <c r="C811" s="476" t="s">
        <v>4650</v>
      </c>
      <c r="D811" s="464"/>
      <c r="E811" s="465" t="s">
        <v>2895</v>
      </c>
      <c r="F811" s="466" t="s">
        <v>2890</v>
      </c>
      <c r="G811" s="464"/>
      <c r="H811" s="477">
        <v>45061</v>
      </c>
      <c r="I811" s="473">
        <f t="shared" si="28"/>
        <v>15374748.648648648</v>
      </c>
      <c r="J811" s="473">
        <f t="shared" si="29"/>
        <v>1691222.3513513512</v>
      </c>
      <c r="K811" s="474">
        <f>6149844+6920370+3995757</f>
        <v>17065971</v>
      </c>
      <c r="L811" s="475"/>
    </row>
    <row r="812" spans="1:12" x14ac:dyDescent="0.2">
      <c r="A812" s="305">
        <v>137</v>
      </c>
      <c r="B812" s="485" t="s">
        <v>1200</v>
      </c>
      <c r="C812" s="476" t="s">
        <v>4634</v>
      </c>
      <c r="D812" s="464"/>
      <c r="E812" s="465" t="s">
        <v>3029</v>
      </c>
      <c r="F812" s="466" t="s">
        <v>3025</v>
      </c>
      <c r="G812" s="464"/>
      <c r="H812" s="477">
        <v>45065</v>
      </c>
      <c r="I812" s="488">
        <f t="shared" si="28"/>
        <v>270270.27027027024</v>
      </c>
      <c r="J812" s="488">
        <f t="shared" si="29"/>
        <v>29729.729729729726</v>
      </c>
      <c r="K812" s="474">
        <v>300000</v>
      </c>
      <c r="L812" s="475"/>
    </row>
    <row r="813" spans="1:12" x14ac:dyDescent="0.2">
      <c r="A813" s="305">
        <v>138</v>
      </c>
      <c r="B813" s="469" t="s">
        <v>1201</v>
      </c>
      <c r="C813" s="476" t="s">
        <v>4673</v>
      </c>
      <c r="D813" s="464"/>
      <c r="E813" s="465" t="s">
        <v>3573</v>
      </c>
      <c r="F813" s="466" t="s">
        <v>2851</v>
      </c>
      <c r="G813" s="464"/>
      <c r="H813" s="477">
        <v>45066</v>
      </c>
      <c r="I813" s="473">
        <f t="shared" si="28"/>
        <v>1074243.2432432431</v>
      </c>
      <c r="J813" s="473">
        <f t="shared" si="29"/>
        <v>118166.75675675675</v>
      </c>
      <c r="K813" s="474">
        <f>1147410+45000</f>
        <v>1192410</v>
      </c>
      <c r="L813" s="475"/>
    </row>
    <row r="814" spans="1:12" x14ac:dyDescent="0.2">
      <c r="A814" s="305">
        <v>139</v>
      </c>
      <c r="B814" s="485" t="s">
        <v>1202</v>
      </c>
      <c r="C814" s="476" t="s">
        <v>4730</v>
      </c>
      <c r="D814" s="464"/>
      <c r="E814" s="465" t="s">
        <v>3164</v>
      </c>
      <c r="F814" s="466" t="s">
        <v>2928</v>
      </c>
      <c r="G814" s="464"/>
      <c r="H814" s="477">
        <v>45066</v>
      </c>
      <c r="I814" s="488">
        <f t="shared" si="28"/>
        <v>5173484.6846846845</v>
      </c>
      <c r="J814" s="488">
        <f t="shared" si="29"/>
        <v>569083.31531531527</v>
      </c>
      <c r="K814" s="474">
        <f>2800000+2942568</f>
        <v>5742568</v>
      </c>
      <c r="L814" s="475"/>
    </row>
    <row r="815" spans="1:12" x14ac:dyDescent="0.2">
      <c r="A815" s="305">
        <v>140</v>
      </c>
      <c r="B815" s="469" t="s">
        <v>1203</v>
      </c>
      <c r="C815" s="480" t="s">
        <v>4692</v>
      </c>
      <c r="D815" s="481"/>
      <c r="E815" s="482" t="s">
        <v>2939</v>
      </c>
      <c r="F815" s="483" t="s">
        <v>2940</v>
      </c>
      <c r="G815" s="513"/>
      <c r="H815" s="484">
        <v>45069</v>
      </c>
      <c r="I815" s="473">
        <f t="shared" si="28"/>
        <v>8985356.7567567565</v>
      </c>
      <c r="J815" s="473">
        <f t="shared" si="29"/>
        <v>988389.2432432432</v>
      </c>
      <c r="K815" s="474">
        <f>2441880+7044516+487350</f>
        <v>9973746</v>
      </c>
      <c r="L815" s="475"/>
    </row>
    <row r="816" spans="1:12" x14ac:dyDescent="0.2">
      <c r="A816" s="305">
        <v>141</v>
      </c>
      <c r="B816" s="485" t="s">
        <v>1204</v>
      </c>
      <c r="C816" s="476" t="s">
        <v>4636</v>
      </c>
      <c r="D816" s="464"/>
      <c r="E816" s="465" t="s">
        <v>2911</v>
      </c>
      <c r="F816" s="466" t="s">
        <v>2912</v>
      </c>
      <c r="G816" s="464"/>
      <c r="H816" s="477">
        <v>45069</v>
      </c>
      <c r="I816" s="488">
        <f t="shared" si="28"/>
        <v>5789967.5675675673</v>
      </c>
      <c r="J816" s="488">
        <f t="shared" si="29"/>
        <v>636896.43243243243</v>
      </c>
      <c r="K816" s="474">
        <v>6426864</v>
      </c>
      <c r="L816" s="475"/>
    </row>
    <row r="817" spans="1:12" x14ac:dyDescent="0.2">
      <c r="A817" s="305">
        <v>142</v>
      </c>
      <c r="B817" s="469" t="s">
        <v>1205</v>
      </c>
      <c r="C817" s="476" t="s">
        <v>4678</v>
      </c>
      <c r="D817" s="464"/>
      <c r="E817" s="465" t="s">
        <v>2974</v>
      </c>
      <c r="F817" s="466" t="s">
        <v>2755</v>
      </c>
      <c r="G817" s="464"/>
      <c r="H817" s="477">
        <v>45058</v>
      </c>
      <c r="I817" s="473">
        <f t="shared" si="28"/>
        <v>1176576.5765765766</v>
      </c>
      <c r="J817" s="473">
        <f t="shared" si="29"/>
        <v>129423.42342342342</v>
      </c>
      <c r="K817" s="474">
        <f>726000+580000</f>
        <v>1306000</v>
      </c>
      <c r="L817" s="475"/>
    </row>
    <row r="818" spans="1:12" x14ac:dyDescent="0.2">
      <c r="A818" s="305">
        <v>143</v>
      </c>
      <c r="B818" s="485" t="s">
        <v>1206</v>
      </c>
      <c r="C818" s="476" t="s">
        <v>4729</v>
      </c>
      <c r="D818" s="464"/>
      <c r="E818" s="465" t="s">
        <v>3030</v>
      </c>
      <c r="F818" s="466" t="s">
        <v>2892</v>
      </c>
      <c r="G818" s="464"/>
      <c r="H818" s="477">
        <v>45061</v>
      </c>
      <c r="I818" s="488">
        <f t="shared" si="28"/>
        <v>4943286.4864864862</v>
      </c>
      <c r="J818" s="488">
        <f t="shared" si="29"/>
        <v>543761.51351351349</v>
      </c>
      <c r="K818" s="474">
        <f>4801680+685368</f>
        <v>5487048</v>
      </c>
      <c r="L818" s="475"/>
    </row>
    <row r="819" spans="1:12" x14ac:dyDescent="0.2">
      <c r="A819" s="305">
        <v>144</v>
      </c>
      <c r="B819" s="469" t="s">
        <v>1207</v>
      </c>
      <c r="C819" s="476" t="s">
        <v>4643</v>
      </c>
      <c r="D819" s="464"/>
      <c r="E819" s="465" t="s">
        <v>2927</v>
      </c>
      <c r="F819" s="466" t="s">
        <v>2928</v>
      </c>
      <c r="G819" s="464"/>
      <c r="H819" s="477">
        <v>45061</v>
      </c>
      <c r="I819" s="473">
        <f t="shared" si="28"/>
        <v>8772916.2162162159</v>
      </c>
      <c r="J819" s="473">
        <f t="shared" si="29"/>
        <v>965020.78378378379</v>
      </c>
      <c r="K819" s="474">
        <f>9430137+307800</f>
        <v>9737937</v>
      </c>
      <c r="L819" s="475"/>
    </row>
    <row r="820" spans="1:12" x14ac:dyDescent="0.2">
      <c r="A820" s="305">
        <v>145</v>
      </c>
      <c r="B820" s="485" t="s">
        <v>1208</v>
      </c>
      <c r="C820" s="480" t="s">
        <v>4638</v>
      </c>
      <c r="D820" s="481"/>
      <c r="E820" s="482" t="s">
        <v>3024</v>
      </c>
      <c r="F820" s="483" t="s">
        <v>3025</v>
      </c>
      <c r="G820" s="513"/>
      <c r="H820" s="484">
        <v>45062</v>
      </c>
      <c r="I820" s="488">
        <f t="shared" si="28"/>
        <v>5612497.297297297</v>
      </c>
      <c r="J820" s="488">
        <f t="shared" si="29"/>
        <v>617374.70270270272</v>
      </c>
      <c r="K820" s="474">
        <v>6229872</v>
      </c>
      <c r="L820" s="475"/>
    </row>
    <row r="821" spans="1:12" x14ac:dyDescent="0.2">
      <c r="A821" s="305">
        <v>146</v>
      </c>
      <c r="B821" s="469" t="s">
        <v>1209</v>
      </c>
      <c r="C821" s="476" t="s">
        <v>4639</v>
      </c>
      <c r="D821" s="464"/>
      <c r="E821" s="465" t="s">
        <v>3485</v>
      </c>
      <c r="F821" s="466" t="s">
        <v>2912</v>
      </c>
      <c r="G821" s="464"/>
      <c r="H821" s="477">
        <v>45062</v>
      </c>
      <c r="I821" s="473">
        <f t="shared" si="28"/>
        <v>1599099.0990990989</v>
      </c>
      <c r="J821" s="473">
        <f t="shared" si="29"/>
        <v>175900.90090090089</v>
      </c>
      <c r="K821" s="474">
        <v>1775000</v>
      </c>
      <c r="L821" s="475"/>
    </row>
    <row r="822" spans="1:12" x14ac:dyDescent="0.2">
      <c r="A822" s="305">
        <v>147</v>
      </c>
      <c r="B822" s="485" t="s">
        <v>1210</v>
      </c>
      <c r="C822" s="476" t="s">
        <v>4640</v>
      </c>
      <c r="D822" s="464"/>
      <c r="E822" s="465" t="s">
        <v>3452</v>
      </c>
      <c r="F822" s="466" t="s">
        <v>2944</v>
      </c>
      <c r="G822" s="464"/>
      <c r="H822" s="477">
        <v>45061</v>
      </c>
      <c r="I822" s="488">
        <f t="shared" si="28"/>
        <v>660211.7117117116</v>
      </c>
      <c r="J822" s="488">
        <f t="shared" si="29"/>
        <v>72623.28828828827</v>
      </c>
      <c r="K822" s="474">
        <v>732835</v>
      </c>
      <c r="L822" s="475"/>
    </row>
    <row r="823" spans="1:12" x14ac:dyDescent="0.2">
      <c r="A823" s="305">
        <v>148</v>
      </c>
      <c r="B823" s="469" t="s">
        <v>1211</v>
      </c>
      <c r="C823" s="476" t="s">
        <v>4642</v>
      </c>
      <c r="D823" s="464"/>
      <c r="E823" s="465" t="s">
        <v>2943</v>
      </c>
      <c r="F823" s="466" t="s">
        <v>2944</v>
      </c>
      <c r="G823" s="464"/>
      <c r="H823" s="477">
        <v>45062</v>
      </c>
      <c r="I823" s="473">
        <f t="shared" si="28"/>
        <v>989189.18918918911</v>
      </c>
      <c r="J823" s="473">
        <f t="shared" si="29"/>
        <v>108810.8108108108</v>
      </c>
      <c r="K823" s="474">
        <v>1098000</v>
      </c>
      <c r="L823" s="475"/>
    </row>
    <row r="824" spans="1:12" x14ac:dyDescent="0.2">
      <c r="A824" s="305">
        <v>149</v>
      </c>
      <c r="B824" s="485" t="s">
        <v>1212</v>
      </c>
      <c r="C824" s="476" t="s">
        <v>4724</v>
      </c>
      <c r="D824" s="464"/>
      <c r="E824" s="465" t="s">
        <v>2889</v>
      </c>
      <c r="F824" s="466" t="s">
        <v>2808</v>
      </c>
      <c r="G824" s="464"/>
      <c r="H824" s="477">
        <v>45066</v>
      </c>
      <c r="I824" s="488">
        <f t="shared" si="28"/>
        <v>116130721.62162161</v>
      </c>
      <c r="J824" s="488">
        <f t="shared" si="29"/>
        <v>12774379.378378376</v>
      </c>
      <c r="K824" s="474">
        <f>5677200+72756909+50470992</f>
        <v>128905101</v>
      </c>
      <c r="L824" s="475"/>
    </row>
    <row r="825" spans="1:12" x14ac:dyDescent="0.2">
      <c r="A825" s="305">
        <v>150</v>
      </c>
      <c r="B825" s="469" t="s">
        <v>1213</v>
      </c>
      <c r="C825" s="476" t="s">
        <v>4646</v>
      </c>
      <c r="D825" s="464"/>
      <c r="E825" s="465" t="s">
        <v>4647</v>
      </c>
      <c r="F825" s="466" t="s">
        <v>4447</v>
      </c>
      <c r="G825" s="464"/>
      <c r="H825" s="477">
        <v>45069</v>
      </c>
      <c r="I825" s="473">
        <f t="shared" si="28"/>
        <v>11104864.864864863</v>
      </c>
      <c r="J825" s="473">
        <f t="shared" si="29"/>
        <v>1221535.1351351349</v>
      </c>
      <c r="K825" s="474">
        <v>12326400</v>
      </c>
      <c r="L825" s="475"/>
    </row>
    <row r="826" spans="1:12" x14ac:dyDescent="0.2">
      <c r="A826" s="305">
        <v>151</v>
      </c>
      <c r="B826" s="485" t="s">
        <v>1214</v>
      </c>
      <c r="C826" s="476" t="s">
        <v>4648</v>
      </c>
      <c r="D826" s="464"/>
      <c r="E826" s="465" t="s">
        <v>2995</v>
      </c>
      <c r="F826" s="466" t="s">
        <v>2755</v>
      </c>
      <c r="G826" s="464"/>
      <c r="H826" s="477">
        <v>45065</v>
      </c>
      <c r="I826" s="488">
        <f t="shared" si="28"/>
        <v>600810.81081081077</v>
      </c>
      <c r="J826" s="488">
        <f t="shared" si="29"/>
        <v>66089.189189189186</v>
      </c>
      <c r="K826" s="474">
        <v>666900</v>
      </c>
      <c r="L826" s="475"/>
    </row>
    <row r="827" spans="1:12" x14ac:dyDescent="0.2">
      <c r="A827" s="305">
        <v>152</v>
      </c>
      <c r="B827" s="469" t="s">
        <v>1215</v>
      </c>
      <c r="C827" s="476" t="s">
        <v>4659</v>
      </c>
      <c r="D827" s="464"/>
      <c r="E827" s="465" t="s">
        <v>4651</v>
      </c>
      <c r="F827" s="466" t="s">
        <v>2922</v>
      </c>
      <c r="G827" s="464"/>
      <c r="H827" s="477">
        <v>45069</v>
      </c>
      <c r="I827" s="473">
        <f t="shared" si="28"/>
        <v>8246702.702702702</v>
      </c>
      <c r="J827" s="473">
        <f t="shared" si="29"/>
        <v>907137.29729729728</v>
      </c>
      <c r="K827" s="474">
        <f>6240000+1015740+1898100</f>
        <v>9153840</v>
      </c>
      <c r="L827" s="475"/>
    </row>
    <row r="828" spans="1:12" x14ac:dyDescent="0.2">
      <c r="A828" s="305">
        <v>153</v>
      </c>
      <c r="B828" s="485" t="s">
        <v>1216</v>
      </c>
      <c r="C828" s="480" t="s">
        <v>4744</v>
      </c>
      <c r="D828" s="481"/>
      <c r="E828" s="482" t="s">
        <v>2936</v>
      </c>
      <c r="F828" s="483" t="s">
        <v>2922</v>
      </c>
      <c r="G828" s="513"/>
      <c r="H828" s="484">
        <v>45069</v>
      </c>
      <c r="I828" s="488">
        <f t="shared" si="28"/>
        <v>13443892.792792792</v>
      </c>
      <c r="J828" s="488">
        <f t="shared" si="29"/>
        <v>1478828.2072072071</v>
      </c>
      <c r="K828" s="474">
        <f>2332833+685368+11904520</f>
        <v>14922721</v>
      </c>
      <c r="L828" s="475"/>
    </row>
    <row r="829" spans="1:12" x14ac:dyDescent="0.2">
      <c r="A829" s="305">
        <v>154</v>
      </c>
      <c r="B829" s="469" t="s">
        <v>1217</v>
      </c>
      <c r="C829" s="476" t="s">
        <v>4684</v>
      </c>
      <c r="D829" s="464"/>
      <c r="E829" s="465" t="s">
        <v>2907</v>
      </c>
      <c r="F829" s="466" t="s">
        <v>2858</v>
      </c>
      <c r="G829" s="464"/>
      <c r="H829" s="477">
        <v>45070</v>
      </c>
      <c r="I829" s="473">
        <f t="shared" si="28"/>
        <v>11028994.594594594</v>
      </c>
      <c r="J829" s="473">
        <f t="shared" si="29"/>
        <v>1213189.4054054054</v>
      </c>
      <c r="K829" s="474">
        <f>2917944+3324240+6000000</f>
        <v>12242184</v>
      </c>
      <c r="L829" s="475"/>
    </row>
    <row r="830" spans="1:12" x14ac:dyDescent="0.2">
      <c r="A830" s="305">
        <v>155</v>
      </c>
      <c r="B830" s="485" t="s">
        <v>1218</v>
      </c>
      <c r="C830" s="476" t="s">
        <v>4732</v>
      </c>
      <c r="D830" s="464"/>
      <c r="E830" s="465" t="s">
        <v>2906</v>
      </c>
      <c r="F830" s="466" t="s">
        <v>2892</v>
      </c>
      <c r="G830" s="464"/>
      <c r="H830" s="477">
        <v>45070</v>
      </c>
      <c r="I830" s="488">
        <f t="shared" si="28"/>
        <v>17533970.270270269</v>
      </c>
      <c r="J830" s="488">
        <f t="shared" si="29"/>
        <v>1928736.7297297297</v>
      </c>
      <c r="K830" s="474">
        <f>11180835+8281872</f>
        <v>19462707</v>
      </c>
      <c r="L830" s="475"/>
    </row>
    <row r="831" spans="1:12" x14ac:dyDescent="0.2">
      <c r="A831" s="305">
        <v>156</v>
      </c>
      <c r="B831" s="469" t="s">
        <v>1219</v>
      </c>
      <c r="C831" s="476" t="s">
        <v>4657</v>
      </c>
      <c r="D831" s="464"/>
      <c r="E831" s="465" t="s">
        <v>4331</v>
      </c>
      <c r="F831" s="466" t="s">
        <v>4332</v>
      </c>
      <c r="G831" s="464"/>
      <c r="H831" s="477">
        <v>45070</v>
      </c>
      <c r="I831" s="473">
        <f t="shared" si="28"/>
        <v>177932.43243243243</v>
      </c>
      <c r="J831" s="473">
        <f t="shared" si="29"/>
        <v>19572.567567567567</v>
      </c>
      <c r="K831" s="474">
        <v>197505</v>
      </c>
      <c r="L831" s="475"/>
    </row>
    <row r="832" spans="1:12" x14ac:dyDescent="0.2">
      <c r="A832" s="305">
        <v>157</v>
      </c>
      <c r="B832" s="485" t="s">
        <v>1220</v>
      </c>
      <c r="C832" s="476" t="s">
        <v>4731</v>
      </c>
      <c r="D832" s="464"/>
      <c r="E832" s="465" t="s">
        <v>2948</v>
      </c>
      <c r="F832" s="466" t="s">
        <v>2892</v>
      </c>
      <c r="G832" s="464"/>
      <c r="H832" s="477">
        <v>45070</v>
      </c>
      <c r="I832" s="488">
        <f t="shared" si="28"/>
        <v>15848156.756756755</v>
      </c>
      <c r="J832" s="488">
        <f t="shared" si="29"/>
        <v>1743297.2432432431</v>
      </c>
      <c r="K832" s="474">
        <f>3505500+14085954</f>
        <v>17591454</v>
      </c>
      <c r="L832" s="475"/>
    </row>
    <row r="833" spans="1:12" x14ac:dyDescent="0.2">
      <c r="A833" s="305">
        <v>158</v>
      </c>
      <c r="B833" s="469" t="s">
        <v>1221</v>
      </c>
      <c r="C833" s="480" t="s">
        <v>4746</v>
      </c>
      <c r="D833" s="481"/>
      <c r="E833" s="482" t="s">
        <v>2996</v>
      </c>
      <c r="F833" s="483" t="s">
        <v>2785</v>
      </c>
      <c r="G833" s="513"/>
      <c r="H833" s="484">
        <v>45071</v>
      </c>
      <c r="I833" s="473">
        <f t="shared" si="28"/>
        <v>18983772.97297297</v>
      </c>
      <c r="J833" s="473">
        <f t="shared" si="29"/>
        <v>2088215.0270270268</v>
      </c>
      <c r="K833" s="474">
        <f>9603360+1865268+9603360</f>
        <v>21071988</v>
      </c>
      <c r="L833" s="475"/>
    </row>
    <row r="834" spans="1:12" x14ac:dyDescent="0.2">
      <c r="A834" s="305">
        <v>159</v>
      </c>
      <c r="B834" s="485" t="s">
        <v>1222</v>
      </c>
      <c r="C834" s="476" t="s">
        <v>4667</v>
      </c>
      <c r="D834" s="464"/>
      <c r="E834" s="465" t="s">
        <v>3516</v>
      </c>
      <c r="F834" s="466" t="s">
        <v>2858</v>
      </c>
      <c r="G834" s="464"/>
      <c r="H834" s="477">
        <v>45071</v>
      </c>
      <c r="I834" s="488">
        <f t="shared" si="28"/>
        <v>3491172.9729729728</v>
      </c>
      <c r="J834" s="488">
        <f t="shared" si="29"/>
        <v>384029.02702702698</v>
      </c>
      <c r="K834" s="474">
        <f>2797902+1077300</f>
        <v>3875202</v>
      </c>
      <c r="L834" s="475"/>
    </row>
    <row r="835" spans="1:12" x14ac:dyDescent="0.2">
      <c r="A835" s="305">
        <v>160</v>
      </c>
      <c r="B835" s="469" t="s">
        <v>1223</v>
      </c>
      <c r="C835" s="476" t="s">
        <v>4715</v>
      </c>
      <c r="D835" s="464"/>
      <c r="E835" s="465" t="s">
        <v>3538</v>
      </c>
      <c r="F835" s="466" t="s">
        <v>2890</v>
      </c>
      <c r="G835" s="464"/>
      <c r="H835" s="477">
        <v>45069</v>
      </c>
      <c r="I835" s="473">
        <f t="shared" si="28"/>
        <v>10152316.216216216</v>
      </c>
      <c r="J835" s="473">
        <f t="shared" si="29"/>
        <v>1116754.7837837837</v>
      </c>
      <c r="K835" s="474">
        <f>7014762+2548584+1705725</f>
        <v>11269071</v>
      </c>
      <c r="L835" s="475"/>
    </row>
    <row r="836" spans="1:12" x14ac:dyDescent="0.2">
      <c r="A836" s="305">
        <v>161</v>
      </c>
      <c r="B836" s="485" t="s">
        <v>1224</v>
      </c>
      <c r="C836" s="476" t="s">
        <v>4660</v>
      </c>
      <c r="D836" s="464"/>
      <c r="E836" s="465" t="s">
        <v>4026</v>
      </c>
      <c r="F836" s="466" t="s">
        <v>3033</v>
      </c>
      <c r="G836" s="464"/>
      <c r="H836" s="477">
        <v>45072</v>
      </c>
      <c r="I836" s="488">
        <f t="shared" si="28"/>
        <v>1261702.7027027025</v>
      </c>
      <c r="J836" s="488">
        <f t="shared" si="29"/>
        <v>138787.29729729728</v>
      </c>
      <c r="K836" s="474">
        <v>1400490</v>
      </c>
      <c r="L836" s="475"/>
    </row>
    <row r="837" spans="1:12" x14ac:dyDescent="0.2">
      <c r="A837" s="305">
        <v>162</v>
      </c>
      <c r="B837" s="469" t="s">
        <v>1225</v>
      </c>
      <c r="C837" s="476" t="s">
        <v>4664</v>
      </c>
      <c r="D837" s="464"/>
      <c r="E837" s="465" t="s">
        <v>2907</v>
      </c>
      <c r="F837" s="466" t="s">
        <v>2908</v>
      </c>
      <c r="G837" s="464"/>
      <c r="H837" s="477">
        <v>45072</v>
      </c>
      <c r="I837" s="473">
        <f t="shared" si="28"/>
        <v>22675862.162162159</v>
      </c>
      <c r="J837" s="473">
        <f t="shared" si="29"/>
        <v>2494344.8378378376</v>
      </c>
      <c r="K837" s="474">
        <f>18535374+6484833+150000</f>
        <v>25170207</v>
      </c>
      <c r="L837" s="475"/>
    </row>
    <row r="838" spans="1:12" x14ac:dyDescent="0.2">
      <c r="A838" s="305">
        <v>163</v>
      </c>
      <c r="B838" s="485" t="s">
        <v>1226</v>
      </c>
      <c r="C838" s="476" t="s">
        <v>4661</v>
      </c>
      <c r="D838" s="464"/>
      <c r="E838" s="465" t="s">
        <v>2995</v>
      </c>
      <c r="F838" s="466" t="s">
        <v>2940</v>
      </c>
      <c r="G838" s="464"/>
      <c r="H838" s="477">
        <v>45071</v>
      </c>
      <c r="I838" s="488">
        <f t="shared" si="28"/>
        <v>535723.42342342343</v>
      </c>
      <c r="J838" s="488">
        <f t="shared" si="29"/>
        <v>58929.576576576575</v>
      </c>
      <c r="K838" s="474">
        <v>594653</v>
      </c>
      <c r="L838" s="475"/>
    </row>
    <row r="839" spans="1:12" x14ac:dyDescent="0.2">
      <c r="A839" s="305">
        <v>164</v>
      </c>
      <c r="B839" s="469" t="s">
        <v>1227</v>
      </c>
      <c r="C839" s="476" t="s">
        <v>4679</v>
      </c>
      <c r="D839" s="464"/>
      <c r="E839" s="465" t="s">
        <v>3076</v>
      </c>
      <c r="F839" s="466" t="s">
        <v>3077</v>
      </c>
      <c r="G839" s="464"/>
      <c r="H839" s="477">
        <v>45072</v>
      </c>
      <c r="I839" s="473">
        <f t="shared" si="28"/>
        <v>1312612.6126126125</v>
      </c>
      <c r="J839" s="473">
        <f t="shared" si="29"/>
        <v>144387.38738738737</v>
      </c>
      <c r="K839" s="474">
        <f>1170000+287000</f>
        <v>1457000</v>
      </c>
      <c r="L839" s="475"/>
    </row>
    <row r="840" spans="1:12" x14ac:dyDescent="0.2">
      <c r="A840" s="305">
        <v>165</v>
      </c>
      <c r="B840" s="485" t="s">
        <v>1228</v>
      </c>
      <c r="C840" s="476" t="s">
        <v>4663</v>
      </c>
      <c r="D840" s="464"/>
      <c r="E840" s="465" t="s">
        <v>2907</v>
      </c>
      <c r="F840" s="466" t="s">
        <v>3092</v>
      </c>
      <c r="G840" s="464"/>
      <c r="H840" s="477">
        <v>45073</v>
      </c>
      <c r="I840" s="488">
        <f t="shared" si="28"/>
        <v>1220108.1081081079</v>
      </c>
      <c r="J840" s="488">
        <f t="shared" si="29"/>
        <v>134211.89189189186</v>
      </c>
      <c r="K840" s="474">
        <v>1354320</v>
      </c>
      <c r="L840" s="475"/>
    </row>
    <row r="841" spans="1:12" x14ac:dyDescent="0.2">
      <c r="A841" s="305">
        <v>166</v>
      </c>
      <c r="B841" s="469" t="s">
        <v>1229</v>
      </c>
      <c r="C841" s="480" t="s">
        <v>4666</v>
      </c>
      <c r="D841" s="481"/>
      <c r="E841" s="482" t="s">
        <v>3085</v>
      </c>
      <c r="F841" s="483" t="s">
        <v>2982</v>
      </c>
      <c r="G841" s="513"/>
      <c r="H841" s="484">
        <v>45075</v>
      </c>
      <c r="I841" s="473">
        <f t="shared" si="28"/>
        <v>3496718.9189189188</v>
      </c>
      <c r="J841" s="473">
        <f t="shared" si="29"/>
        <v>384639.08108108107</v>
      </c>
      <c r="K841" s="474">
        <v>3881358</v>
      </c>
      <c r="L841" s="475"/>
    </row>
    <row r="842" spans="1:12" x14ac:dyDescent="0.2">
      <c r="A842" s="305">
        <v>167</v>
      </c>
      <c r="B842" s="485" t="s">
        <v>1230</v>
      </c>
      <c r="C842" s="476" t="s">
        <v>4686</v>
      </c>
      <c r="D842" s="464"/>
      <c r="E842" s="465" t="s">
        <v>6909</v>
      </c>
      <c r="F842" s="466" t="s">
        <v>2886</v>
      </c>
      <c r="G842" s="464"/>
      <c r="H842" s="477">
        <v>45075</v>
      </c>
      <c r="I842" s="488">
        <f t="shared" si="28"/>
        <v>6457791.8918918911</v>
      </c>
      <c r="J842" s="488">
        <f t="shared" si="29"/>
        <v>710357.10810810805</v>
      </c>
      <c r="K842" s="474">
        <f>2548584+2582100+2037465</f>
        <v>7168149</v>
      </c>
      <c r="L842" s="475"/>
    </row>
    <row r="843" spans="1:12" x14ac:dyDescent="0.2">
      <c r="A843" s="305">
        <v>168</v>
      </c>
      <c r="B843" s="469" t="s">
        <v>1231</v>
      </c>
      <c r="C843" s="476" t="s">
        <v>4716</v>
      </c>
      <c r="D843" s="464"/>
      <c r="E843" s="465" t="s">
        <v>3556</v>
      </c>
      <c r="F843" s="466" t="s">
        <v>3061</v>
      </c>
      <c r="G843" s="464"/>
      <c r="H843" s="477">
        <v>45069</v>
      </c>
      <c r="I843" s="473">
        <f t="shared" si="28"/>
        <v>5695054.0540540535</v>
      </c>
      <c r="J843" s="473">
        <f t="shared" si="29"/>
        <v>626455.94594594592</v>
      </c>
      <c r="K843" s="474">
        <f>2523960+2592000+1205550</f>
        <v>6321510</v>
      </c>
      <c r="L843" s="475"/>
    </row>
    <row r="844" spans="1:12" x14ac:dyDescent="0.2">
      <c r="A844" s="305">
        <v>169</v>
      </c>
      <c r="B844" s="485" t="s">
        <v>1232</v>
      </c>
      <c r="C844" s="476" t="s">
        <v>4669</v>
      </c>
      <c r="D844" s="464"/>
      <c r="E844" s="465" t="s">
        <v>3151</v>
      </c>
      <c r="F844" s="466" t="s">
        <v>2994</v>
      </c>
      <c r="G844" s="464"/>
      <c r="H844" s="477">
        <v>45076</v>
      </c>
      <c r="I844" s="488">
        <f t="shared" si="28"/>
        <v>1663783.7837837837</v>
      </c>
      <c r="J844" s="488">
        <f t="shared" si="29"/>
        <v>183016.21621621621</v>
      </c>
      <c r="K844" s="474">
        <v>1846800</v>
      </c>
      <c r="L844" s="475"/>
    </row>
    <row r="845" spans="1:12" x14ac:dyDescent="0.2">
      <c r="A845" s="305">
        <v>170</v>
      </c>
      <c r="B845" s="469" t="s">
        <v>1233</v>
      </c>
      <c r="C845" s="476" t="s">
        <v>4671</v>
      </c>
      <c r="D845" s="464"/>
      <c r="E845" s="465" t="s">
        <v>3129</v>
      </c>
      <c r="F845" s="466" t="s">
        <v>3108</v>
      </c>
      <c r="G845" s="464"/>
      <c r="H845" s="477">
        <v>45077</v>
      </c>
      <c r="I845" s="473">
        <f t="shared" si="28"/>
        <v>2894983.7837837837</v>
      </c>
      <c r="J845" s="473">
        <f t="shared" si="29"/>
        <v>318448.21621621621</v>
      </c>
      <c r="K845" s="474">
        <v>3213432</v>
      </c>
      <c r="L845" s="475"/>
    </row>
    <row r="846" spans="1:12" x14ac:dyDescent="0.2">
      <c r="A846" s="305">
        <v>171</v>
      </c>
      <c r="B846" s="485" t="s">
        <v>1234</v>
      </c>
      <c r="C846" s="476" t="s">
        <v>4852</v>
      </c>
      <c r="D846" s="464"/>
      <c r="E846" s="465" t="s">
        <v>3605</v>
      </c>
      <c r="F846" s="466" t="s">
        <v>2915</v>
      </c>
      <c r="G846" s="464"/>
      <c r="H846" s="477">
        <v>45048</v>
      </c>
      <c r="I846" s="488">
        <f t="shared" si="28"/>
        <v>19970269.369369369</v>
      </c>
      <c r="J846" s="488">
        <f t="shared" si="29"/>
        <v>2196729.6306306305</v>
      </c>
      <c r="K846" s="474">
        <f>1877764+9434400+10854835</f>
        <v>22166999</v>
      </c>
      <c r="L846" s="475"/>
    </row>
    <row r="847" spans="1:12" x14ac:dyDescent="0.2">
      <c r="A847" s="305">
        <v>172</v>
      </c>
      <c r="B847" s="469" t="s">
        <v>1235</v>
      </c>
      <c r="C847" s="476" t="s">
        <v>4672</v>
      </c>
      <c r="D847" s="464"/>
      <c r="E847" s="465" t="s">
        <v>2918</v>
      </c>
      <c r="F847" s="466" t="s">
        <v>2919</v>
      </c>
      <c r="G847" s="464"/>
      <c r="H847" s="477">
        <v>45075</v>
      </c>
      <c r="I847" s="473">
        <f t="shared" si="28"/>
        <v>3113513.5135135134</v>
      </c>
      <c r="J847" s="473">
        <f t="shared" si="29"/>
        <v>342486.48648648645</v>
      </c>
      <c r="K847" s="474">
        <v>3456000</v>
      </c>
      <c r="L847" s="475"/>
    </row>
    <row r="848" spans="1:12" x14ac:dyDescent="0.2">
      <c r="A848" s="305">
        <v>173</v>
      </c>
      <c r="B848" s="485" t="s">
        <v>1236</v>
      </c>
      <c r="C848" s="476" t="s">
        <v>4745</v>
      </c>
      <c r="D848" s="464"/>
      <c r="E848" s="465" t="s">
        <v>2878</v>
      </c>
      <c r="F848" s="466" t="s">
        <v>2879</v>
      </c>
      <c r="G848" s="464"/>
      <c r="H848" s="477">
        <v>45077</v>
      </c>
      <c r="I848" s="488">
        <f t="shared" si="28"/>
        <v>15157070.270270269</v>
      </c>
      <c r="J848" s="488">
        <f t="shared" si="29"/>
        <v>1667277.7297297297</v>
      </c>
      <c r="K848" s="474">
        <f>8439876+8384472</f>
        <v>16824348</v>
      </c>
      <c r="L848" s="475"/>
    </row>
    <row r="849" spans="1:12" x14ac:dyDescent="0.2">
      <c r="A849" s="305">
        <v>174</v>
      </c>
      <c r="B849" s="469" t="s">
        <v>1237</v>
      </c>
      <c r="C849" s="476" t="s">
        <v>4674</v>
      </c>
      <c r="D849" s="464"/>
      <c r="E849" s="465" t="s">
        <v>4675</v>
      </c>
      <c r="F849" s="466" t="s">
        <v>2808</v>
      </c>
      <c r="G849" s="464"/>
      <c r="H849" s="477">
        <v>45077</v>
      </c>
      <c r="I849" s="473">
        <f t="shared" si="28"/>
        <v>71635.135135135133</v>
      </c>
      <c r="J849" s="473">
        <f t="shared" si="29"/>
        <v>7879.864864864865</v>
      </c>
      <c r="K849" s="474">
        <v>79515</v>
      </c>
      <c r="L849" s="475"/>
    </row>
    <row r="850" spans="1:12" x14ac:dyDescent="0.2">
      <c r="A850" s="305">
        <v>175</v>
      </c>
      <c r="B850" s="485" t="s">
        <v>1238</v>
      </c>
      <c r="C850" s="476" t="s">
        <v>4677</v>
      </c>
      <c r="D850" s="464"/>
      <c r="E850" s="465" t="s">
        <v>3921</v>
      </c>
      <c r="F850" s="466" t="s">
        <v>2873</v>
      </c>
      <c r="G850" s="464"/>
      <c r="H850" s="477">
        <v>45077</v>
      </c>
      <c r="I850" s="488">
        <f t="shared" si="28"/>
        <v>482497.29729729728</v>
      </c>
      <c r="J850" s="488">
        <f t="shared" si="29"/>
        <v>53074.7027027027</v>
      </c>
      <c r="K850" s="474">
        <v>535572</v>
      </c>
      <c r="L850" s="475"/>
    </row>
    <row r="851" spans="1:12" x14ac:dyDescent="0.2">
      <c r="A851" s="305">
        <v>176</v>
      </c>
      <c r="B851" s="469" t="s">
        <v>1239</v>
      </c>
      <c r="C851" s="476" t="s">
        <v>4717</v>
      </c>
      <c r="D851" s="464"/>
      <c r="E851" s="465" t="s">
        <v>2885</v>
      </c>
      <c r="F851" s="466" t="s">
        <v>2886</v>
      </c>
      <c r="G851" s="464"/>
      <c r="H851" s="477">
        <v>45069</v>
      </c>
      <c r="I851" s="473">
        <f t="shared" si="28"/>
        <v>6209610.81081081</v>
      </c>
      <c r="J851" s="473">
        <f t="shared" si="29"/>
        <v>683057.18918918911</v>
      </c>
      <c r="K851" s="474">
        <f>1846800+5045868</f>
        <v>6892668</v>
      </c>
      <c r="L851" s="475"/>
    </row>
    <row r="852" spans="1:12" x14ac:dyDescent="0.2">
      <c r="A852" s="305">
        <v>177</v>
      </c>
      <c r="B852" s="485" t="s">
        <v>1240</v>
      </c>
      <c r="C852" s="480" t="s">
        <v>4737</v>
      </c>
      <c r="D852" s="481"/>
      <c r="E852" s="482" t="s">
        <v>2929</v>
      </c>
      <c r="F852" s="483" t="s">
        <v>2886</v>
      </c>
      <c r="G852" s="513"/>
      <c r="H852" s="484">
        <v>45076</v>
      </c>
      <c r="I852" s="488">
        <f t="shared" si="28"/>
        <v>2713354.054054054</v>
      </c>
      <c r="J852" s="488">
        <f t="shared" si="29"/>
        <v>298468.94594594592</v>
      </c>
      <c r="K852" s="474">
        <f>1788318+1223505</f>
        <v>3011823</v>
      </c>
      <c r="L852" s="475"/>
    </row>
    <row r="853" spans="1:12" x14ac:dyDescent="0.2">
      <c r="A853" s="305">
        <v>178</v>
      </c>
      <c r="B853" s="469" t="s">
        <v>1241</v>
      </c>
      <c r="C853" s="476" t="s">
        <v>4681</v>
      </c>
      <c r="D853" s="464"/>
      <c r="E853" s="465" t="s">
        <v>3060</v>
      </c>
      <c r="F853" s="466" t="s">
        <v>3061</v>
      </c>
      <c r="G853" s="464"/>
      <c r="H853" s="477">
        <v>45077</v>
      </c>
      <c r="I853" s="473">
        <f t="shared" si="28"/>
        <v>2985567.5675675673</v>
      </c>
      <c r="J853" s="473">
        <f t="shared" si="29"/>
        <v>328412.43243243243</v>
      </c>
      <c r="K853" s="474">
        <v>3313980</v>
      </c>
      <c r="L853" s="475"/>
    </row>
    <row r="854" spans="1:12" x14ac:dyDescent="0.2">
      <c r="A854" s="305">
        <v>179</v>
      </c>
      <c r="B854" s="485" t="s">
        <v>1242</v>
      </c>
      <c r="C854" s="476" t="s">
        <v>4682</v>
      </c>
      <c r="D854" s="464"/>
      <c r="E854" s="465" t="s">
        <v>2883</v>
      </c>
      <c r="F854" s="466" t="s">
        <v>2884</v>
      </c>
      <c r="G854" s="464"/>
      <c r="H854" s="477">
        <v>45077</v>
      </c>
      <c r="I854" s="488">
        <f t="shared" si="28"/>
        <v>8318918.9189189179</v>
      </c>
      <c r="J854" s="488">
        <f t="shared" si="29"/>
        <v>915081.08108108095</v>
      </c>
      <c r="K854" s="474">
        <v>9234000</v>
      </c>
      <c r="L854" s="475"/>
    </row>
    <row r="855" spans="1:12" x14ac:dyDescent="0.2">
      <c r="A855" s="305">
        <v>180</v>
      </c>
      <c r="B855" s="469" t="s">
        <v>1243</v>
      </c>
      <c r="C855" s="476" t="s">
        <v>4690</v>
      </c>
      <c r="D855" s="464"/>
      <c r="E855" s="465" t="s">
        <v>4582</v>
      </c>
      <c r="F855" s="466" t="s">
        <v>2792</v>
      </c>
      <c r="G855" s="464"/>
      <c r="H855" s="477">
        <v>45077</v>
      </c>
      <c r="I855" s="473">
        <f t="shared" si="28"/>
        <v>43091999.999999993</v>
      </c>
      <c r="J855" s="473">
        <f t="shared" si="29"/>
        <v>4740119.9999999991</v>
      </c>
      <c r="K855" s="474">
        <f>17747748+30084372</f>
        <v>47832120</v>
      </c>
      <c r="L855" s="475"/>
    </row>
    <row r="856" spans="1:12" x14ac:dyDescent="0.2">
      <c r="A856" s="305">
        <v>181</v>
      </c>
      <c r="B856" s="485" t="s">
        <v>1244</v>
      </c>
      <c r="C856" s="476" t="s">
        <v>4691</v>
      </c>
      <c r="D856" s="464"/>
      <c r="E856" s="465" t="s">
        <v>2945</v>
      </c>
      <c r="F856" s="466" t="s">
        <v>2946</v>
      </c>
      <c r="G856" s="464"/>
      <c r="H856" s="477">
        <v>45077</v>
      </c>
      <c r="I856" s="488">
        <f t="shared" si="28"/>
        <v>9235386.4864864852</v>
      </c>
      <c r="J856" s="488">
        <f t="shared" si="29"/>
        <v>1015892.5135135134</v>
      </c>
      <c r="K856" s="474">
        <v>10251279</v>
      </c>
      <c r="L856" s="475"/>
    </row>
    <row r="857" spans="1:12" x14ac:dyDescent="0.2">
      <c r="A857" s="305">
        <v>182</v>
      </c>
      <c r="B857" s="469" t="s">
        <v>1245</v>
      </c>
      <c r="C857" s="480" t="s">
        <v>4701</v>
      </c>
      <c r="D857" s="481"/>
      <c r="E857" s="482" t="s">
        <v>2900</v>
      </c>
      <c r="F857" s="483" t="s">
        <v>2823</v>
      </c>
      <c r="G857" s="513"/>
      <c r="H857" s="484">
        <v>45065</v>
      </c>
      <c r="I857" s="473">
        <f t="shared" si="28"/>
        <v>39087827.027027026</v>
      </c>
      <c r="J857" s="473">
        <f t="shared" si="29"/>
        <v>4299660.9729729732</v>
      </c>
      <c r="K857" s="474">
        <f>10785312+19526832+13075344</f>
        <v>43387488</v>
      </c>
      <c r="L857" s="475"/>
    </row>
    <row r="858" spans="1:12" x14ac:dyDescent="0.2">
      <c r="A858" s="305">
        <v>183</v>
      </c>
      <c r="B858" s="485" t="s">
        <v>1246</v>
      </c>
      <c r="C858" s="476" t="s">
        <v>4708</v>
      </c>
      <c r="D858" s="464"/>
      <c r="E858" s="465" t="s">
        <v>2933</v>
      </c>
      <c r="F858" s="466" t="s">
        <v>2823</v>
      </c>
      <c r="G858" s="464"/>
      <c r="H858" s="477">
        <v>45065</v>
      </c>
      <c r="I858" s="488">
        <f t="shared" si="28"/>
        <v>15576805.405405404</v>
      </c>
      <c r="J858" s="488">
        <f t="shared" si="29"/>
        <v>1713448.5945945946</v>
      </c>
      <c r="K858" s="474">
        <f>14650254+2640000</f>
        <v>17290254</v>
      </c>
      <c r="L858" s="475"/>
    </row>
    <row r="859" spans="1:12" x14ac:dyDescent="0.2">
      <c r="A859" s="305">
        <v>184</v>
      </c>
      <c r="B859" s="469" t="s">
        <v>1247</v>
      </c>
      <c r="C859" s="476" t="s">
        <v>4705</v>
      </c>
      <c r="D859" s="464"/>
      <c r="E859" s="465" t="s">
        <v>2937</v>
      </c>
      <c r="F859" s="466" t="s">
        <v>2823</v>
      </c>
      <c r="G859" s="464"/>
      <c r="H859" s="477">
        <v>45063</v>
      </c>
      <c r="I859" s="473">
        <f t="shared" si="28"/>
        <v>23103486.486486483</v>
      </c>
      <c r="J859" s="473">
        <f t="shared" si="29"/>
        <v>2541383.5135135134</v>
      </c>
      <c r="K859" s="474">
        <f>5756886+18976896+911088</f>
        <v>25644870</v>
      </c>
      <c r="L859" s="475"/>
    </row>
    <row r="860" spans="1:12" x14ac:dyDescent="0.2">
      <c r="A860" s="305">
        <v>185</v>
      </c>
      <c r="B860" s="485" t="s">
        <v>1248</v>
      </c>
      <c r="C860" s="476" t="s">
        <v>4704</v>
      </c>
      <c r="D860" s="464"/>
      <c r="E860" s="465" t="s">
        <v>2898</v>
      </c>
      <c r="F860" s="466" t="s">
        <v>2823</v>
      </c>
      <c r="G860" s="464"/>
      <c r="H860" s="477">
        <v>45065</v>
      </c>
      <c r="I860" s="488">
        <f t="shared" si="28"/>
        <v>53606035.135135129</v>
      </c>
      <c r="J860" s="488">
        <f t="shared" si="29"/>
        <v>5896663.8648648644</v>
      </c>
      <c r="K860" s="474">
        <f>11215377+14774400+33512922</f>
        <v>59502699</v>
      </c>
      <c r="L860" s="475"/>
    </row>
    <row r="861" spans="1:12" x14ac:dyDescent="0.2">
      <c r="A861" s="305">
        <v>186</v>
      </c>
      <c r="B861" s="469" t="s">
        <v>1249</v>
      </c>
      <c r="C861" s="476" t="s">
        <v>4706</v>
      </c>
      <c r="D861" s="464"/>
      <c r="E861" s="465" t="s">
        <v>3011</v>
      </c>
      <c r="F861" s="466" t="s">
        <v>2823</v>
      </c>
      <c r="G861" s="464"/>
      <c r="H861" s="477">
        <v>45065</v>
      </c>
      <c r="I861" s="473">
        <f t="shared" si="28"/>
        <v>33506140.540540539</v>
      </c>
      <c r="J861" s="473">
        <f t="shared" si="29"/>
        <v>3685675.4594594594</v>
      </c>
      <c r="K861" s="474">
        <f>12276432+8711082+16204302</f>
        <v>37191816</v>
      </c>
      <c r="L861" s="475"/>
    </row>
    <row r="862" spans="1:12" x14ac:dyDescent="0.2">
      <c r="A862" s="305">
        <v>187</v>
      </c>
      <c r="B862" s="485" t="s">
        <v>1250</v>
      </c>
      <c r="C862" s="476" t="s">
        <v>4702</v>
      </c>
      <c r="D862" s="464"/>
      <c r="E862" s="465" t="s">
        <v>2947</v>
      </c>
      <c r="F862" s="466" t="s">
        <v>2823</v>
      </c>
      <c r="G862" s="464"/>
      <c r="H862" s="477">
        <v>45066</v>
      </c>
      <c r="I862" s="488">
        <f t="shared" si="28"/>
        <v>5324108.1081081079</v>
      </c>
      <c r="J862" s="488">
        <f t="shared" si="29"/>
        <v>585651.89189189184</v>
      </c>
      <c r="K862" s="474">
        <v>5909760</v>
      </c>
      <c r="L862" s="475"/>
    </row>
    <row r="863" spans="1:12" x14ac:dyDescent="0.2">
      <c r="A863" s="305">
        <v>188</v>
      </c>
      <c r="B863" s="469" t="s">
        <v>1251</v>
      </c>
      <c r="C863" s="476" t="s">
        <v>4707</v>
      </c>
      <c r="D863" s="464"/>
      <c r="E863" s="465" t="s">
        <v>2900</v>
      </c>
      <c r="F863" s="466" t="s">
        <v>2823</v>
      </c>
      <c r="G863" s="464"/>
      <c r="H863" s="477">
        <v>45069</v>
      </c>
      <c r="I863" s="473">
        <f t="shared" si="28"/>
        <v>25684508.108108107</v>
      </c>
      <c r="J863" s="473">
        <f t="shared" si="29"/>
        <v>2825295.8918918916</v>
      </c>
      <c r="K863" s="474">
        <f>1246590+5762016+21501198</f>
        <v>28509804</v>
      </c>
      <c r="L863" s="475"/>
    </row>
    <row r="864" spans="1:12" x14ac:dyDescent="0.2">
      <c r="A864" s="305">
        <v>189</v>
      </c>
      <c r="B864" s="485" t="s">
        <v>1252</v>
      </c>
      <c r="C864" s="476" t="s">
        <v>4712</v>
      </c>
      <c r="D864" s="464"/>
      <c r="E864" s="465" t="s">
        <v>2898</v>
      </c>
      <c r="F864" s="466" t="s">
        <v>2823</v>
      </c>
      <c r="G864" s="464"/>
      <c r="H864" s="477">
        <v>45071</v>
      </c>
      <c r="I864" s="488">
        <f t="shared" si="28"/>
        <v>23573043.24324324</v>
      </c>
      <c r="J864" s="488">
        <f t="shared" si="29"/>
        <v>2593034.7567567565</v>
      </c>
      <c r="K864" s="474">
        <f>4350240+10488798+11327040</f>
        <v>26166078</v>
      </c>
      <c r="L864" s="475"/>
    </row>
    <row r="865" spans="1:12" x14ac:dyDescent="0.2">
      <c r="A865" s="305">
        <v>190</v>
      </c>
      <c r="B865" s="469" t="s">
        <v>1253</v>
      </c>
      <c r="C865" s="480" t="s">
        <v>4709</v>
      </c>
      <c r="D865" s="481"/>
      <c r="E865" s="482" t="s">
        <v>2937</v>
      </c>
      <c r="F865" s="483" t="s">
        <v>2823</v>
      </c>
      <c r="G865" s="513"/>
      <c r="H865" s="484">
        <v>45073</v>
      </c>
      <c r="I865" s="473">
        <f t="shared" ref="I865:I880" si="30">K865/1.11</f>
        <v>12319934.234234232</v>
      </c>
      <c r="J865" s="473">
        <f t="shared" ref="J865:J880" si="31">I865*11%</f>
        <v>1355192.7657657657</v>
      </c>
      <c r="K865" s="474">
        <v>13675127</v>
      </c>
      <c r="L865" s="475"/>
    </row>
    <row r="866" spans="1:12" x14ac:dyDescent="0.2">
      <c r="A866" s="305">
        <v>191</v>
      </c>
      <c r="B866" s="485" t="s">
        <v>1254</v>
      </c>
      <c r="C866" s="476" t="s">
        <v>4710</v>
      </c>
      <c r="D866" s="464"/>
      <c r="E866" s="465" t="s">
        <v>2958</v>
      </c>
      <c r="F866" s="466" t="s">
        <v>2823</v>
      </c>
      <c r="G866" s="464"/>
      <c r="H866" s="477">
        <v>45075</v>
      </c>
      <c r="I866" s="488">
        <f t="shared" si="30"/>
        <v>9132324.3243243229</v>
      </c>
      <c r="J866" s="488">
        <f t="shared" si="31"/>
        <v>1004555.6756756755</v>
      </c>
      <c r="K866" s="474">
        <v>10136880</v>
      </c>
      <c r="L866" s="475"/>
    </row>
    <row r="867" spans="1:12" x14ac:dyDescent="0.2">
      <c r="A867" s="305">
        <v>192</v>
      </c>
      <c r="B867" s="469" t="s">
        <v>1255</v>
      </c>
      <c r="C867" s="476" t="s">
        <v>4711</v>
      </c>
      <c r="D867" s="464"/>
      <c r="E867" s="465" t="s">
        <v>2900</v>
      </c>
      <c r="F867" s="466" t="s">
        <v>2823</v>
      </c>
      <c r="G867" s="464"/>
      <c r="H867" s="477">
        <v>45076</v>
      </c>
      <c r="I867" s="473">
        <f t="shared" si="30"/>
        <v>1626810.8108108107</v>
      </c>
      <c r="J867" s="473">
        <f t="shared" si="31"/>
        <v>178949.18918918917</v>
      </c>
      <c r="K867" s="474">
        <v>1805760</v>
      </c>
      <c r="L867" s="475"/>
    </row>
    <row r="868" spans="1:12" x14ac:dyDescent="0.2">
      <c r="A868" s="305">
        <v>193</v>
      </c>
      <c r="B868" s="485" t="s">
        <v>1256</v>
      </c>
      <c r="C868" s="476" t="s">
        <v>4714</v>
      </c>
      <c r="D868" s="464"/>
      <c r="E868" s="465" t="s">
        <v>2898</v>
      </c>
      <c r="F868" s="466" t="s">
        <v>2823</v>
      </c>
      <c r="G868" s="464"/>
      <c r="H868" s="477">
        <v>45077</v>
      </c>
      <c r="I868" s="488">
        <f t="shared" si="30"/>
        <v>8953005.405405404</v>
      </c>
      <c r="J868" s="488">
        <f t="shared" si="31"/>
        <v>984830.59459459444</v>
      </c>
      <c r="K868" s="474">
        <v>9937836</v>
      </c>
      <c r="L868" s="475"/>
    </row>
    <row r="869" spans="1:12" x14ac:dyDescent="0.2">
      <c r="A869" s="305">
        <v>194</v>
      </c>
      <c r="B869" s="469" t="s">
        <v>1257</v>
      </c>
      <c r="C869" s="476" t="s">
        <v>4735</v>
      </c>
      <c r="D869" s="464"/>
      <c r="E869" s="465" t="s">
        <v>3046</v>
      </c>
      <c r="F869" s="466" t="s">
        <v>3047</v>
      </c>
      <c r="G869" s="464"/>
      <c r="H869" s="477">
        <v>45070</v>
      </c>
      <c r="I869" s="473">
        <f t="shared" si="30"/>
        <v>3521675.6756756753</v>
      </c>
      <c r="J869" s="473">
        <f t="shared" si="31"/>
        <v>387384.32432432426</v>
      </c>
      <c r="K869" s="474">
        <f>2216160+1692900</f>
        <v>3909060</v>
      </c>
      <c r="L869" s="475"/>
    </row>
    <row r="870" spans="1:12" x14ac:dyDescent="0.2">
      <c r="A870" s="305">
        <v>195</v>
      </c>
      <c r="B870" s="485" t="s">
        <v>1258</v>
      </c>
      <c r="C870" s="476" t="s">
        <v>4741</v>
      </c>
      <c r="D870" s="464"/>
      <c r="E870" s="465" t="s">
        <v>2894</v>
      </c>
      <c r="F870" s="466" t="s">
        <v>2851</v>
      </c>
      <c r="G870" s="464"/>
      <c r="H870" s="477">
        <v>45069</v>
      </c>
      <c r="I870" s="488">
        <f t="shared" si="30"/>
        <v>7089567.5675675673</v>
      </c>
      <c r="J870" s="488">
        <f t="shared" si="31"/>
        <v>779852.43243243243</v>
      </c>
      <c r="K870" s="474">
        <f>4370760+3498660</f>
        <v>7869420</v>
      </c>
      <c r="L870" s="475"/>
    </row>
    <row r="871" spans="1:12" x14ac:dyDescent="0.2">
      <c r="A871" s="305">
        <v>196</v>
      </c>
      <c r="B871" s="469" t="s">
        <v>1259</v>
      </c>
      <c r="C871" s="476" t="s">
        <v>4718</v>
      </c>
      <c r="D871" s="464"/>
      <c r="E871" s="465" t="s">
        <v>2956</v>
      </c>
      <c r="F871" s="466" t="s">
        <v>2755</v>
      </c>
      <c r="G871" s="464"/>
      <c r="H871" s="477">
        <v>45069</v>
      </c>
      <c r="I871" s="473">
        <f t="shared" si="30"/>
        <v>368805.40540540538</v>
      </c>
      <c r="J871" s="473">
        <f t="shared" si="31"/>
        <v>40568.594594594593</v>
      </c>
      <c r="K871" s="474">
        <v>409374</v>
      </c>
      <c r="L871" s="475"/>
    </row>
    <row r="872" spans="1:12" x14ac:dyDescent="0.2">
      <c r="A872" s="305">
        <v>197</v>
      </c>
      <c r="B872" s="485" t="s">
        <v>1260</v>
      </c>
      <c r="C872" s="480" t="s">
        <v>4719</v>
      </c>
      <c r="D872" s="481"/>
      <c r="E872" s="482" t="s">
        <v>2895</v>
      </c>
      <c r="F872" s="483" t="s">
        <v>2890</v>
      </c>
      <c r="G872" s="513"/>
      <c r="H872" s="484">
        <v>45070</v>
      </c>
      <c r="I872" s="488">
        <f t="shared" si="30"/>
        <v>1736805.4054054052</v>
      </c>
      <c r="J872" s="488">
        <f t="shared" si="31"/>
        <v>191048.59459459459</v>
      </c>
      <c r="K872" s="474">
        <v>1927854</v>
      </c>
      <c r="L872" s="475"/>
    </row>
    <row r="873" spans="1:12" x14ac:dyDescent="0.2">
      <c r="A873" s="305">
        <v>198</v>
      </c>
      <c r="B873" s="469" t="s">
        <v>1261</v>
      </c>
      <c r="C873" s="476" t="s">
        <v>4723</v>
      </c>
      <c r="D873" s="464"/>
      <c r="E873" s="465" t="s">
        <v>2893</v>
      </c>
      <c r="F873" s="466" t="s">
        <v>2890</v>
      </c>
      <c r="G873" s="464"/>
      <c r="H873" s="477">
        <v>45077</v>
      </c>
      <c r="I873" s="473">
        <f t="shared" si="30"/>
        <v>654729.7297297297</v>
      </c>
      <c r="J873" s="473">
        <f t="shared" si="31"/>
        <v>72020.270270270266</v>
      </c>
      <c r="K873" s="474">
        <v>726750</v>
      </c>
      <c r="L873" s="475"/>
    </row>
    <row r="874" spans="1:12" x14ac:dyDescent="0.2">
      <c r="A874" s="305">
        <v>199</v>
      </c>
      <c r="B874" s="485" t="s">
        <v>1262</v>
      </c>
      <c r="C874" s="476" t="s">
        <v>4725</v>
      </c>
      <c r="D874" s="464"/>
      <c r="E874" s="465" t="s">
        <v>2889</v>
      </c>
      <c r="F874" s="466" t="s">
        <v>2808</v>
      </c>
      <c r="G874" s="464"/>
      <c r="H874" s="477">
        <v>45075</v>
      </c>
      <c r="I874" s="488">
        <f t="shared" si="30"/>
        <v>52920032.432432428</v>
      </c>
      <c r="J874" s="488">
        <f t="shared" si="31"/>
        <v>5821203.5675675673</v>
      </c>
      <c r="K874" s="474">
        <f>33544044+25197192</f>
        <v>58741236</v>
      </c>
      <c r="L874" s="475"/>
    </row>
    <row r="875" spans="1:12" x14ac:dyDescent="0.2">
      <c r="A875" s="305">
        <v>200</v>
      </c>
      <c r="B875" s="469" t="s">
        <v>1263</v>
      </c>
      <c r="C875" s="480" t="s">
        <v>4726</v>
      </c>
      <c r="D875" s="481"/>
      <c r="E875" s="482" t="s">
        <v>2907</v>
      </c>
      <c r="F875" s="483" t="s">
        <v>2858</v>
      </c>
      <c r="G875" s="513"/>
      <c r="H875" s="484">
        <v>45075</v>
      </c>
      <c r="I875" s="473">
        <f t="shared" si="30"/>
        <v>3915437.8378378376</v>
      </c>
      <c r="J875" s="473">
        <f t="shared" si="31"/>
        <v>430698.16216216213</v>
      </c>
      <c r="K875" s="474">
        <v>4346136</v>
      </c>
      <c r="L875" s="475"/>
    </row>
    <row r="876" spans="1:12" x14ac:dyDescent="0.2">
      <c r="A876" s="305">
        <v>201</v>
      </c>
      <c r="B876" s="485" t="s">
        <v>4696</v>
      </c>
      <c r="C876" s="476" t="s">
        <v>4727</v>
      </c>
      <c r="D876" s="464"/>
      <c r="E876" s="465" t="s">
        <v>2907</v>
      </c>
      <c r="F876" s="466" t="s">
        <v>2926</v>
      </c>
      <c r="G876" s="464"/>
      <c r="H876" s="477">
        <v>45075</v>
      </c>
      <c r="I876" s="488">
        <f t="shared" si="30"/>
        <v>4570783.7837837832</v>
      </c>
      <c r="J876" s="488">
        <f t="shared" si="31"/>
        <v>502786.21621621615</v>
      </c>
      <c r="K876" s="474">
        <v>5073570</v>
      </c>
      <c r="L876" s="475"/>
    </row>
    <row r="877" spans="1:12" x14ac:dyDescent="0.2">
      <c r="A877" s="305">
        <v>202</v>
      </c>
      <c r="B877" s="469" t="s">
        <v>4697</v>
      </c>
      <c r="C877" s="476" t="s">
        <v>4742</v>
      </c>
      <c r="D877" s="464"/>
      <c r="E877" s="465" t="s">
        <v>2934</v>
      </c>
      <c r="F877" s="466" t="s">
        <v>2935</v>
      </c>
      <c r="G877" s="464"/>
      <c r="H877" s="477">
        <v>45075</v>
      </c>
      <c r="I877" s="473">
        <f t="shared" si="30"/>
        <v>9905983.7837837823</v>
      </c>
      <c r="J877" s="473">
        <f t="shared" si="31"/>
        <v>1089658.2162162161</v>
      </c>
      <c r="K877" s="474">
        <f>5916942+5078700</f>
        <v>10995642</v>
      </c>
      <c r="L877" s="475"/>
    </row>
    <row r="878" spans="1:12" x14ac:dyDescent="0.2">
      <c r="A878" s="305">
        <v>203</v>
      </c>
      <c r="B878" s="485" t="s">
        <v>4698</v>
      </c>
      <c r="C878" s="476" t="s">
        <v>4733</v>
      </c>
      <c r="D878" s="464"/>
      <c r="E878" s="465" t="s">
        <v>2939</v>
      </c>
      <c r="F878" s="466" t="s">
        <v>2940</v>
      </c>
      <c r="G878" s="464"/>
      <c r="H878" s="477">
        <v>45075</v>
      </c>
      <c r="I878" s="488">
        <f t="shared" si="30"/>
        <v>2994810.8108108104</v>
      </c>
      <c r="J878" s="488">
        <f t="shared" si="31"/>
        <v>329429.18918918917</v>
      </c>
      <c r="K878" s="474">
        <v>3324240</v>
      </c>
      <c r="L878" s="475"/>
    </row>
    <row r="879" spans="1:12" x14ac:dyDescent="0.2">
      <c r="A879" s="305">
        <v>204</v>
      </c>
      <c r="B879" s="469" t="s">
        <v>4699</v>
      </c>
      <c r="C879" s="476" t="s">
        <v>4738</v>
      </c>
      <c r="D879" s="464"/>
      <c r="E879" s="465" t="s">
        <v>2907</v>
      </c>
      <c r="F879" s="466" t="s">
        <v>2908</v>
      </c>
      <c r="G879" s="464"/>
      <c r="H879" s="477">
        <v>45076</v>
      </c>
      <c r="I879" s="473">
        <f t="shared" si="30"/>
        <v>7553578.3783783773</v>
      </c>
      <c r="J879" s="473">
        <f t="shared" si="31"/>
        <v>830893.62162162154</v>
      </c>
      <c r="K879" s="474">
        <v>8384472</v>
      </c>
      <c r="L879" s="475"/>
    </row>
    <row r="880" spans="1:12" x14ac:dyDescent="0.2">
      <c r="A880" s="305">
        <v>205</v>
      </c>
      <c r="B880" s="485" t="s">
        <v>4700</v>
      </c>
      <c r="C880" s="476" t="s">
        <v>4743</v>
      </c>
      <c r="D880" s="464"/>
      <c r="E880" s="465" t="s">
        <v>2881</v>
      </c>
      <c r="F880" s="466" t="s">
        <v>2808</v>
      </c>
      <c r="G880" s="464"/>
      <c r="H880" s="477">
        <v>45076</v>
      </c>
      <c r="I880" s="488">
        <f t="shared" si="30"/>
        <v>49852199.999999993</v>
      </c>
      <c r="J880" s="488">
        <f t="shared" si="31"/>
        <v>5483741.9999999991</v>
      </c>
      <c r="K880" s="474">
        <f>8445690+29358135+17532117</f>
        <v>55335942</v>
      </c>
      <c r="L880" s="475"/>
    </row>
    <row r="881" spans="1:12" ht="18" x14ac:dyDescent="0.25">
      <c r="B881" s="490" t="s">
        <v>284</v>
      </c>
      <c r="C881" s="491"/>
      <c r="D881" s="492"/>
      <c r="E881" s="493"/>
      <c r="F881" s="494"/>
      <c r="G881" s="514"/>
      <c r="H881" s="495"/>
      <c r="I881" s="496">
        <f>SUM(I676:I880)</f>
        <v>2383032021.6216216</v>
      </c>
      <c r="J881" s="496">
        <f>SUM(J676:J880)</f>
        <v>262133522.37837827</v>
      </c>
      <c r="K881" s="496">
        <f>SUM(K676:K880)</f>
        <v>2645165544</v>
      </c>
      <c r="L881" s="497"/>
    </row>
    <row r="882" spans="1:12" s="352" customFormat="1" ht="20.25" x14ac:dyDescent="0.3">
      <c r="A882" s="305"/>
      <c r="B882" s="498" t="s">
        <v>103</v>
      </c>
      <c r="C882" s="486"/>
      <c r="D882" s="487"/>
      <c r="E882" s="487"/>
      <c r="F882" s="487"/>
      <c r="G882" s="487"/>
      <c r="H882" s="499"/>
      <c r="I882" s="500"/>
      <c r="J882" s="500"/>
      <c r="K882" s="501"/>
      <c r="L882" s="502"/>
    </row>
    <row r="883" spans="1:12" s="520" customFormat="1" x14ac:dyDescent="0.2">
      <c r="A883" s="517">
        <v>1</v>
      </c>
      <c r="B883" s="485" t="s">
        <v>1264</v>
      </c>
      <c r="C883" s="486" t="s">
        <v>4912</v>
      </c>
      <c r="D883" s="464" t="s">
        <v>2856</v>
      </c>
      <c r="E883" s="465" t="s">
        <v>2857</v>
      </c>
      <c r="F883" s="466" t="s">
        <v>2858</v>
      </c>
      <c r="G883" s="518" t="s">
        <v>3819</v>
      </c>
      <c r="H883" s="519">
        <v>45082</v>
      </c>
      <c r="I883" s="488">
        <f>K883/1.11</f>
        <v>138648.64864864864</v>
      </c>
      <c r="J883" s="488">
        <f>I883*11%</f>
        <v>15251.35135135135</v>
      </c>
      <c r="K883" s="489">
        <v>153900</v>
      </c>
      <c r="L883" s="547"/>
    </row>
    <row r="884" spans="1:12" s="520" customFormat="1" x14ac:dyDescent="0.2">
      <c r="A884" s="517">
        <v>2</v>
      </c>
      <c r="B884" s="469" t="s">
        <v>1265</v>
      </c>
      <c r="C884" s="470" t="s">
        <v>4913</v>
      </c>
      <c r="D884" s="464" t="s">
        <v>2849</v>
      </c>
      <c r="E884" s="471" t="s">
        <v>2850</v>
      </c>
      <c r="F884" s="471" t="s">
        <v>2851</v>
      </c>
      <c r="G884" s="518" t="s">
        <v>3820</v>
      </c>
      <c r="H884" s="519">
        <v>45083</v>
      </c>
      <c r="I884" s="473">
        <f>K884/1.11</f>
        <v>1857504.5045045044</v>
      </c>
      <c r="J884" s="473">
        <f>I884*11%</f>
        <v>204325.49549549547</v>
      </c>
      <c r="K884" s="474">
        <v>2061830</v>
      </c>
      <c r="L884" s="475"/>
    </row>
    <row r="885" spans="1:12" s="520" customFormat="1" x14ac:dyDescent="0.2">
      <c r="A885" s="517">
        <v>3</v>
      </c>
      <c r="B885" s="485" t="s">
        <v>1266</v>
      </c>
      <c r="C885" s="476" t="s">
        <v>4914</v>
      </c>
      <c r="D885" s="464" t="s">
        <v>4915</v>
      </c>
      <c r="E885" s="471" t="s">
        <v>4916</v>
      </c>
      <c r="F885" s="471" t="s">
        <v>2823</v>
      </c>
      <c r="G885" s="518" t="s">
        <v>3821</v>
      </c>
      <c r="H885" s="519">
        <v>45082</v>
      </c>
      <c r="I885" s="488">
        <f t="shared" ref="I885:I948" si="32">K885/1.11</f>
        <v>7898648.6486486476</v>
      </c>
      <c r="J885" s="488">
        <f t="shared" ref="J885:J948" si="33">I885*11%</f>
        <v>868851.35135135124</v>
      </c>
      <c r="K885" s="474">
        <v>8767500</v>
      </c>
      <c r="L885" s="475"/>
    </row>
    <row r="886" spans="1:12" s="520" customFormat="1" x14ac:dyDescent="0.2">
      <c r="A886" s="517">
        <v>4</v>
      </c>
      <c r="B886" s="469" t="s">
        <v>1267</v>
      </c>
      <c r="C886" s="476" t="s">
        <v>4917</v>
      </c>
      <c r="D886" s="464" t="s">
        <v>2849</v>
      </c>
      <c r="E886" s="471" t="s">
        <v>2850</v>
      </c>
      <c r="F886" s="471" t="s">
        <v>2851</v>
      </c>
      <c r="G886" s="518" t="s">
        <v>3822</v>
      </c>
      <c r="H886" s="519">
        <v>45084</v>
      </c>
      <c r="I886" s="473">
        <f t="shared" si="32"/>
        <v>1146162.1621621621</v>
      </c>
      <c r="J886" s="473">
        <f t="shared" si="33"/>
        <v>126077.83783783784</v>
      </c>
      <c r="K886" s="474">
        <v>1272240</v>
      </c>
      <c r="L886" s="475"/>
    </row>
    <row r="887" spans="1:12" s="520" customFormat="1" x14ac:dyDescent="0.2">
      <c r="A887" s="517">
        <v>5</v>
      </c>
      <c r="B887" s="485" t="s">
        <v>1268</v>
      </c>
      <c r="C887" s="476" t="s">
        <v>4918</v>
      </c>
      <c r="D887" s="725" t="s">
        <v>3300</v>
      </c>
      <c r="E887" s="708" t="s">
        <v>3301</v>
      </c>
      <c r="F887" s="726" t="s">
        <v>3001</v>
      </c>
      <c r="G887" s="518" t="s">
        <v>3823</v>
      </c>
      <c r="H887" s="519">
        <v>45085</v>
      </c>
      <c r="I887" s="488">
        <f t="shared" si="32"/>
        <v>3408754.054054054</v>
      </c>
      <c r="J887" s="488">
        <f t="shared" si="33"/>
        <v>374962.94594594592</v>
      </c>
      <c r="K887" s="474">
        <v>3783717</v>
      </c>
      <c r="L887" s="475"/>
    </row>
    <row r="888" spans="1:12" s="520" customFormat="1" x14ac:dyDescent="0.2">
      <c r="A888" s="517">
        <v>6</v>
      </c>
      <c r="B888" s="469" t="s">
        <v>1269</v>
      </c>
      <c r="C888" s="476" t="s">
        <v>4919</v>
      </c>
      <c r="D888" s="464" t="s">
        <v>2783</v>
      </c>
      <c r="E888" s="465" t="s">
        <v>2784</v>
      </c>
      <c r="F888" s="466" t="s">
        <v>2785</v>
      </c>
      <c r="G888" s="518" t="s">
        <v>3824</v>
      </c>
      <c r="H888" s="519">
        <v>45085</v>
      </c>
      <c r="I888" s="473">
        <f t="shared" si="32"/>
        <v>34311036.036036029</v>
      </c>
      <c r="J888" s="473">
        <f t="shared" si="33"/>
        <v>3774213.9639639631</v>
      </c>
      <c r="K888" s="474">
        <v>38085250</v>
      </c>
      <c r="L888" s="475"/>
    </row>
    <row r="889" spans="1:12" s="520" customFormat="1" x14ac:dyDescent="0.2">
      <c r="A889" s="517">
        <v>7</v>
      </c>
      <c r="B889" s="485" t="s">
        <v>1270</v>
      </c>
      <c r="C889" s="476" t="s">
        <v>4920</v>
      </c>
      <c r="D889" s="487" t="s">
        <v>2826</v>
      </c>
      <c r="E889" s="503" t="s">
        <v>2827</v>
      </c>
      <c r="F889" s="504" t="s">
        <v>2828</v>
      </c>
      <c r="G889" s="518" t="s">
        <v>3825</v>
      </c>
      <c r="H889" s="519">
        <v>45085</v>
      </c>
      <c r="I889" s="488">
        <f t="shared" si="32"/>
        <v>1891891.8918918918</v>
      </c>
      <c r="J889" s="488">
        <f t="shared" si="33"/>
        <v>208108.10810810811</v>
      </c>
      <c r="K889" s="474">
        <v>2100000</v>
      </c>
      <c r="L889" s="475"/>
    </row>
    <row r="890" spans="1:12" s="520" customFormat="1" x14ac:dyDescent="0.2">
      <c r="A890" s="517">
        <v>8</v>
      </c>
      <c r="B890" s="469" t="s">
        <v>1271</v>
      </c>
      <c r="C890" s="476" t="s">
        <v>4921</v>
      </c>
      <c r="D890" s="487" t="s">
        <v>2790</v>
      </c>
      <c r="E890" s="503" t="s">
        <v>2791</v>
      </c>
      <c r="F890" s="504" t="s">
        <v>2792</v>
      </c>
      <c r="G890" s="518" t="s">
        <v>3826</v>
      </c>
      <c r="H890" s="519">
        <v>45086</v>
      </c>
      <c r="I890" s="473">
        <f t="shared" si="32"/>
        <v>480670.27027027024</v>
      </c>
      <c r="J890" s="473">
        <f t="shared" si="33"/>
        <v>52873.729729729726</v>
      </c>
      <c r="K890" s="474">
        <v>533544</v>
      </c>
      <c r="L890" s="475"/>
    </row>
    <row r="891" spans="1:12" s="520" customFormat="1" x14ac:dyDescent="0.2">
      <c r="A891" s="517">
        <v>9</v>
      </c>
      <c r="B891" s="485" t="s">
        <v>1272</v>
      </c>
      <c r="C891" s="476" t="s">
        <v>4922</v>
      </c>
      <c r="D891" s="464" t="s">
        <v>2758</v>
      </c>
      <c r="E891" s="708" t="s">
        <v>2759</v>
      </c>
      <c r="F891" s="466" t="s">
        <v>2755</v>
      </c>
      <c r="G891" s="518" t="s">
        <v>3827</v>
      </c>
      <c r="H891" s="519">
        <v>45086</v>
      </c>
      <c r="I891" s="488">
        <f t="shared" si="32"/>
        <v>42248002.702702701</v>
      </c>
      <c r="J891" s="488">
        <f t="shared" si="33"/>
        <v>4647280.297297297</v>
      </c>
      <c r="K891" s="474">
        <v>46895283</v>
      </c>
      <c r="L891" s="475"/>
    </row>
    <row r="892" spans="1:12" s="520" customFormat="1" ht="14.25" customHeight="1" x14ac:dyDescent="0.2">
      <c r="A892" s="517">
        <v>10</v>
      </c>
      <c r="B892" s="469" t="s">
        <v>1273</v>
      </c>
      <c r="C892" s="476" t="s">
        <v>4923</v>
      </c>
      <c r="D892" s="464" t="s">
        <v>2783</v>
      </c>
      <c r="E892" s="465" t="s">
        <v>2784</v>
      </c>
      <c r="F892" s="466" t="s">
        <v>2785</v>
      </c>
      <c r="G892" s="518" t="s">
        <v>3828</v>
      </c>
      <c r="H892" s="519">
        <v>45086</v>
      </c>
      <c r="I892" s="473">
        <f t="shared" si="32"/>
        <v>4654054.0540540535</v>
      </c>
      <c r="J892" s="473">
        <f t="shared" si="33"/>
        <v>511945.94594594586</v>
      </c>
      <c r="K892" s="474">
        <v>5166000</v>
      </c>
      <c r="L892" s="475"/>
    </row>
    <row r="893" spans="1:12" s="520" customFormat="1" ht="14.25" customHeight="1" x14ac:dyDescent="0.2">
      <c r="A893" s="517">
        <v>11</v>
      </c>
      <c r="B893" s="485" t="s">
        <v>1274</v>
      </c>
      <c r="C893" s="476" t="s">
        <v>4924</v>
      </c>
      <c r="D893" s="487" t="s">
        <v>2753</v>
      </c>
      <c r="E893" s="503" t="s">
        <v>2754</v>
      </c>
      <c r="F893" s="504" t="s">
        <v>2755</v>
      </c>
      <c r="G893" s="518" t="s">
        <v>3829</v>
      </c>
      <c r="H893" s="519">
        <v>45086</v>
      </c>
      <c r="I893" s="488">
        <f t="shared" si="32"/>
        <v>1558716.2162162161</v>
      </c>
      <c r="J893" s="488">
        <f t="shared" si="33"/>
        <v>171458.78378378376</v>
      </c>
      <c r="K893" s="474">
        <v>1730175</v>
      </c>
      <c r="L893" s="475"/>
    </row>
    <row r="894" spans="1:12" s="520" customFormat="1" x14ac:dyDescent="0.2">
      <c r="A894" s="517">
        <v>12</v>
      </c>
      <c r="B894" s="469" t="s">
        <v>1275</v>
      </c>
      <c r="C894" s="476" t="s">
        <v>4925</v>
      </c>
      <c r="D894" s="464" t="s">
        <v>2783</v>
      </c>
      <c r="E894" s="465" t="s">
        <v>2784</v>
      </c>
      <c r="F894" s="466" t="s">
        <v>2785</v>
      </c>
      <c r="G894" s="518" t="s">
        <v>3830</v>
      </c>
      <c r="H894" s="519">
        <v>45089</v>
      </c>
      <c r="I894" s="473">
        <f t="shared" si="32"/>
        <v>4824324.3243243238</v>
      </c>
      <c r="J894" s="473">
        <f t="shared" si="33"/>
        <v>530675.67567567562</v>
      </c>
      <c r="K894" s="474">
        <v>5355000</v>
      </c>
      <c r="L894" s="475"/>
    </row>
    <row r="895" spans="1:12" s="520" customFormat="1" ht="14.25" customHeight="1" x14ac:dyDescent="0.2">
      <c r="A895" s="517">
        <v>13</v>
      </c>
      <c r="B895" s="485" t="s">
        <v>1276</v>
      </c>
      <c r="C895" s="476" t="s">
        <v>4926</v>
      </c>
      <c r="D895" s="464" t="s">
        <v>2758</v>
      </c>
      <c r="E895" s="708" t="s">
        <v>2759</v>
      </c>
      <c r="F895" s="466" t="s">
        <v>2755</v>
      </c>
      <c r="G895" s="518" t="s">
        <v>3831</v>
      </c>
      <c r="H895" s="519">
        <v>45089</v>
      </c>
      <c r="I895" s="488">
        <f t="shared" si="32"/>
        <v>5156335.1351351347</v>
      </c>
      <c r="J895" s="488">
        <f t="shared" si="33"/>
        <v>567196.86486486485</v>
      </c>
      <c r="K895" s="474">
        <v>5723532</v>
      </c>
      <c r="L895" s="475"/>
    </row>
    <row r="896" spans="1:12" s="520" customFormat="1" ht="14.25" customHeight="1" x14ac:dyDescent="0.2">
      <c r="A896" s="517">
        <v>14</v>
      </c>
      <c r="B896" s="469" t="s">
        <v>1277</v>
      </c>
      <c r="C896" s="476" t="s">
        <v>4927</v>
      </c>
      <c r="D896" s="464" t="s">
        <v>2806</v>
      </c>
      <c r="E896" s="465" t="s">
        <v>2807</v>
      </c>
      <c r="F896" s="466" t="s">
        <v>2808</v>
      </c>
      <c r="G896" s="518" t="s">
        <v>3832</v>
      </c>
      <c r="H896" s="519">
        <v>45089</v>
      </c>
      <c r="I896" s="473">
        <f t="shared" si="32"/>
        <v>3159459.4594594594</v>
      </c>
      <c r="J896" s="473">
        <f t="shared" si="33"/>
        <v>347540.54054054053</v>
      </c>
      <c r="K896" s="474">
        <v>3507000</v>
      </c>
      <c r="L896" s="475"/>
    </row>
    <row r="897" spans="1:12" s="520" customFormat="1" x14ac:dyDescent="0.2">
      <c r="A897" s="517">
        <v>15</v>
      </c>
      <c r="B897" s="485" t="s">
        <v>1278</v>
      </c>
      <c r="C897" s="476" t="s">
        <v>4928</v>
      </c>
      <c r="D897" s="464" t="s">
        <v>2871</v>
      </c>
      <c r="E897" s="465" t="s">
        <v>2872</v>
      </c>
      <c r="F897" s="466" t="s">
        <v>2873</v>
      </c>
      <c r="G897" s="518" t="s">
        <v>3833</v>
      </c>
      <c r="H897" s="519">
        <v>45089</v>
      </c>
      <c r="I897" s="488">
        <f t="shared" si="32"/>
        <v>1011936.9369369368</v>
      </c>
      <c r="J897" s="488">
        <f t="shared" si="33"/>
        <v>111313.06306306305</v>
      </c>
      <c r="K897" s="474">
        <v>1123250</v>
      </c>
      <c r="L897" s="475"/>
    </row>
    <row r="898" spans="1:12" s="520" customFormat="1" x14ac:dyDescent="0.2">
      <c r="A898" s="517">
        <v>16</v>
      </c>
      <c r="B898" s="469" t="s">
        <v>1279</v>
      </c>
      <c r="C898" s="476" t="s">
        <v>4929</v>
      </c>
      <c r="D898" s="464" t="s">
        <v>4915</v>
      </c>
      <c r="E898" s="471" t="s">
        <v>4916</v>
      </c>
      <c r="F898" s="471" t="s">
        <v>2823</v>
      </c>
      <c r="G898" s="518" t="s">
        <v>3834</v>
      </c>
      <c r="H898" s="519">
        <v>45091</v>
      </c>
      <c r="I898" s="473">
        <f t="shared" si="32"/>
        <v>13762612.612612611</v>
      </c>
      <c r="J898" s="473">
        <f t="shared" si="33"/>
        <v>1513887.3873873872</v>
      </c>
      <c r="K898" s="474">
        <v>15276500</v>
      </c>
      <c r="L898" s="475"/>
    </row>
    <row r="899" spans="1:12" s="520" customFormat="1" x14ac:dyDescent="0.2">
      <c r="A899" s="517">
        <v>17</v>
      </c>
      <c r="B899" s="485" t="s">
        <v>1280</v>
      </c>
      <c r="C899" s="476" t="s">
        <v>4930</v>
      </c>
      <c r="D899" s="487" t="s">
        <v>4931</v>
      </c>
      <c r="E899" s="503" t="s">
        <v>4940</v>
      </c>
      <c r="F899" s="504" t="s">
        <v>2808</v>
      </c>
      <c r="G899" s="518" t="s">
        <v>3835</v>
      </c>
      <c r="H899" s="519">
        <v>45091</v>
      </c>
      <c r="I899" s="488">
        <f t="shared" si="32"/>
        <v>8586430.180180179</v>
      </c>
      <c r="J899" s="488">
        <f t="shared" si="33"/>
        <v>944507.31981981965</v>
      </c>
      <c r="K899" s="474">
        <v>9530937.5</v>
      </c>
      <c r="L899" s="475"/>
    </row>
    <row r="900" spans="1:12" s="520" customFormat="1" x14ac:dyDescent="0.2">
      <c r="A900" s="517">
        <v>18</v>
      </c>
      <c r="B900" s="469" t="s">
        <v>1281</v>
      </c>
      <c r="C900" s="476" t="s">
        <v>4932</v>
      </c>
      <c r="D900" s="464" t="s">
        <v>2783</v>
      </c>
      <c r="E900" s="465" t="s">
        <v>2784</v>
      </c>
      <c r="F900" s="466" t="s">
        <v>2785</v>
      </c>
      <c r="G900" s="518" t="s">
        <v>3836</v>
      </c>
      <c r="H900" s="519">
        <v>45091</v>
      </c>
      <c r="I900" s="473">
        <f t="shared" si="32"/>
        <v>24373873.873873871</v>
      </c>
      <c r="J900" s="473">
        <f t="shared" si="33"/>
        <v>2681126.1261261259</v>
      </c>
      <c r="K900" s="474">
        <v>27055000</v>
      </c>
      <c r="L900" s="475"/>
    </row>
    <row r="901" spans="1:12" s="520" customFormat="1" x14ac:dyDescent="0.2">
      <c r="A901" s="517">
        <v>19</v>
      </c>
      <c r="B901" s="485" t="s">
        <v>1282</v>
      </c>
      <c r="C901" s="476" t="s">
        <v>4933</v>
      </c>
      <c r="D901" s="464" t="s">
        <v>2758</v>
      </c>
      <c r="E901" s="708" t="s">
        <v>2759</v>
      </c>
      <c r="F901" s="466" t="s">
        <v>2755</v>
      </c>
      <c r="G901" s="518" t="s">
        <v>3837</v>
      </c>
      <c r="H901" s="477">
        <v>45091</v>
      </c>
      <c r="I901" s="488">
        <f t="shared" si="32"/>
        <v>24294810.810810808</v>
      </c>
      <c r="J901" s="488">
        <f t="shared" si="33"/>
        <v>2672429.1891891891</v>
      </c>
      <c r="K901" s="474">
        <v>26967240</v>
      </c>
      <c r="L901" s="475"/>
    </row>
    <row r="902" spans="1:12" s="520" customFormat="1" x14ac:dyDescent="0.2">
      <c r="A902" s="517">
        <v>20</v>
      </c>
      <c r="B902" s="469" t="s">
        <v>1283</v>
      </c>
      <c r="C902" s="476" t="s">
        <v>4934</v>
      </c>
      <c r="D902" s="464" t="s">
        <v>2783</v>
      </c>
      <c r="E902" s="465" t="s">
        <v>2784</v>
      </c>
      <c r="F902" s="466" t="s">
        <v>2785</v>
      </c>
      <c r="G902" s="518" t="s">
        <v>3838</v>
      </c>
      <c r="H902" s="477">
        <v>45092</v>
      </c>
      <c r="I902" s="473">
        <f t="shared" si="32"/>
        <v>103696801.80180179</v>
      </c>
      <c r="J902" s="473">
        <f t="shared" si="33"/>
        <v>11406648.198198197</v>
      </c>
      <c r="K902" s="474">
        <v>115103450</v>
      </c>
      <c r="L902" s="475"/>
    </row>
    <row r="903" spans="1:12" s="520" customFormat="1" x14ac:dyDescent="0.2">
      <c r="A903" s="517">
        <v>21</v>
      </c>
      <c r="B903" s="485" t="s">
        <v>1284</v>
      </c>
      <c r="C903" s="476" t="s">
        <v>4935</v>
      </c>
      <c r="D903" s="464" t="s">
        <v>2783</v>
      </c>
      <c r="E903" s="465" t="s">
        <v>2784</v>
      </c>
      <c r="F903" s="466" t="s">
        <v>2785</v>
      </c>
      <c r="G903" s="518" t="s">
        <v>3839</v>
      </c>
      <c r="H903" s="477">
        <v>45092</v>
      </c>
      <c r="I903" s="488">
        <f t="shared" si="32"/>
        <v>3793243.2432432431</v>
      </c>
      <c r="J903" s="488">
        <f t="shared" si="33"/>
        <v>417256.75675675675</v>
      </c>
      <c r="K903" s="474">
        <v>4210500</v>
      </c>
      <c r="L903" s="475"/>
    </row>
    <row r="904" spans="1:12" s="520" customFormat="1" x14ac:dyDescent="0.2">
      <c r="A904" s="517">
        <v>22</v>
      </c>
      <c r="B904" s="469" t="s">
        <v>1285</v>
      </c>
      <c r="C904" s="476" t="s">
        <v>4936</v>
      </c>
      <c r="D904" s="511" t="s">
        <v>2773</v>
      </c>
      <c r="E904" s="465" t="s">
        <v>2774</v>
      </c>
      <c r="F904" s="510" t="s">
        <v>2755</v>
      </c>
      <c r="G904" s="518" t="s">
        <v>3840</v>
      </c>
      <c r="H904" s="477">
        <v>45092</v>
      </c>
      <c r="I904" s="473">
        <f t="shared" si="32"/>
        <v>1742643.2432432431</v>
      </c>
      <c r="J904" s="473">
        <f t="shared" si="33"/>
        <v>191690.75675675675</v>
      </c>
      <c r="K904" s="474">
        <v>1934334</v>
      </c>
      <c r="L904" s="475"/>
    </row>
    <row r="905" spans="1:12" s="520" customFormat="1" x14ac:dyDescent="0.2">
      <c r="A905" s="517">
        <v>23</v>
      </c>
      <c r="B905" s="485" t="s">
        <v>1286</v>
      </c>
      <c r="C905" s="476" t="s">
        <v>4937</v>
      </c>
      <c r="D905" s="464" t="s">
        <v>2758</v>
      </c>
      <c r="E905" s="708" t="s">
        <v>2759</v>
      </c>
      <c r="F905" s="466" t="s">
        <v>2755</v>
      </c>
      <c r="G905" s="518" t="s">
        <v>3841</v>
      </c>
      <c r="H905" s="477">
        <v>45092</v>
      </c>
      <c r="I905" s="488">
        <f t="shared" si="32"/>
        <v>7068063.0630630627</v>
      </c>
      <c r="J905" s="488">
        <f t="shared" si="33"/>
        <v>777486.93693693692</v>
      </c>
      <c r="K905" s="474">
        <v>7845550</v>
      </c>
      <c r="L905" s="475"/>
    </row>
    <row r="906" spans="1:12" s="520" customFormat="1" x14ac:dyDescent="0.2">
      <c r="A906" s="517">
        <v>24</v>
      </c>
      <c r="B906" s="469" t="s">
        <v>1287</v>
      </c>
      <c r="C906" s="476" t="s">
        <v>4938</v>
      </c>
      <c r="D906" s="487" t="s">
        <v>2826</v>
      </c>
      <c r="E906" s="503" t="s">
        <v>2827</v>
      </c>
      <c r="F906" s="504" t="s">
        <v>2828</v>
      </c>
      <c r="G906" s="518" t="s">
        <v>3842</v>
      </c>
      <c r="H906" s="477">
        <v>45093</v>
      </c>
      <c r="I906" s="473">
        <f t="shared" si="32"/>
        <v>10895135.135135135</v>
      </c>
      <c r="J906" s="473">
        <f t="shared" si="33"/>
        <v>1198464.8648648649</v>
      </c>
      <c r="K906" s="474">
        <v>12093600</v>
      </c>
      <c r="L906" s="475"/>
    </row>
    <row r="907" spans="1:12" s="520" customFormat="1" x14ac:dyDescent="0.2">
      <c r="A907" s="517">
        <v>25</v>
      </c>
      <c r="B907" s="485" t="s">
        <v>1288</v>
      </c>
      <c r="C907" s="476" t="s">
        <v>4939</v>
      </c>
      <c r="D907" s="464" t="s">
        <v>4915</v>
      </c>
      <c r="E907" s="471" t="s">
        <v>4916</v>
      </c>
      <c r="F907" s="471" t="s">
        <v>2823</v>
      </c>
      <c r="G907" s="518" t="s">
        <v>3843</v>
      </c>
      <c r="H907" s="477">
        <v>45096</v>
      </c>
      <c r="I907" s="488">
        <f t="shared" si="32"/>
        <v>20471846.846846845</v>
      </c>
      <c r="J907" s="488">
        <f t="shared" si="33"/>
        <v>2251903.1531531531</v>
      </c>
      <c r="K907" s="474">
        <v>22723750</v>
      </c>
      <c r="L907" s="475"/>
    </row>
    <row r="908" spans="1:12" s="521" customFormat="1" x14ac:dyDescent="0.2">
      <c r="A908" s="517">
        <v>26</v>
      </c>
      <c r="B908" s="469" t="s">
        <v>1289</v>
      </c>
      <c r="C908" s="476" t="s">
        <v>4941</v>
      </c>
      <c r="D908" s="487" t="s">
        <v>4931</v>
      </c>
      <c r="E908" s="503" t="s">
        <v>4940</v>
      </c>
      <c r="F908" s="504" t="s">
        <v>2808</v>
      </c>
      <c r="G908" s="518" t="s">
        <v>3844</v>
      </c>
      <c r="H908" s="477">
        <v>45096</v>
      </c>
      <c r="I908" s="473">
        <f t="shared" si="32"/>
        <v>23345945.945945945</v>
      </c>
      <c r="J908" s="473">
        <f t="shared" si="33"/>
        <v>2568054.054054054</v>
      </c>
      <c r="K908" s="474">
        <v>25914000</v>
      </c>
      <c r="L908" s="475"/>
    </row>
    <row r="909" spans="1:12" s="521" customFormat="1" x14ac:dyDescent="0.2">
      <c r="A909" s="517">
        <v>27</v>
      </c>
      <c r="B909" s="485" t="s">
        <v>1290</v>
      </c>
      <c r="C909" s="476" t="s">
        <v>4942</v>
      </c>
      <c r="D909" s="464" t="s">
        <v>2783</v>
      </c>
      <c r="E909" s="465" t="s">
        <v>2784</v>
      </c>
      <c r="F909" s="466" t="s">
        <v>2785</v>
      </c>
      <c r="G909" s="518" t="s">
        <v>3845</v>
      </c>
      <c r="H909" s="477">
        <v>45096</v>
      </c>
      <c r="I909" s="488">
        <f t="shared" si="32"/>
        <v>5060810.81081081</v>
      </c>
      <c r="J909" s="488">
        <f t="shared" si="33"/>
        <v>556689.18918918911</v>
      </c>
      <c r="K909" s="474">
        <v>5617500</v>
      </c>
      <c r="L909" s="475"/>
    </row>
    <row r="910" spans="1:12" s="521" customFormat="1" x14ac:dyDescent="0.2">
      <c r="A910" s="517">
        <v>28</v>
      </c>
      <c r="B910" s="469" t="s">
        <v>1291</v>
      </c>
      <c r="C910" s="476" t="s">
        <v>4943</v>
      </c>
      <c r="D910" s="487" t="s">
        <v>2790</v>
      </c>
      <c r="E910" s="503" t="s">
        <v>2791</v>
      </c>
      <c r="F910" s="504" t="s">
        <v>2792</v>
      </c>
      <c r="G910" s="518" t="s">
        <v>3846</v>
      </c>
      <c r="H910" s="477">
        <v>45096</v>
      </c>
      <c r="I910" s="473">
        <f t="shared" si="32"/>
        <v>1518558.5585585583</v>
      </c>
      <c r="J910" s="473">
        <f t="shared" si="33"/>
        <v>167041.44144144142</v>
      </c>
      <c r="K910" s="474">
        <v>1685600</v>
      </c>
      <c r="L910" s="475"/>
    </row>
    <row r="911" spans="1:12" s="521" customFormat="1" x14ac:dyDescent="0.2">
      <c r="A911" s="517">
        <v>29</v>
      </c>
      <c r="B911" s="485" t="s">
        <v>1292</v>
      </c>
      <c r="C911" s="476" t="s">
        <v>4944</v>
      </c>
      <c r="D911" s="487" t="s">
        <v>4931</v>
      </c>
      <c r="E911" s="503" t="s">
        <v>4940</v>
      </c>
      <c r="F911" s="504" t="s">
        <v>2808</v>
      </c>
      <c r="G911" s="518" t="s">
        <v>3847</v>
      </c>
      <c r="H911" s="477">
        <v>45098</v>
      </c>
      <c r="I911" s="488">
        <f t="shared" si="32"/>
        <v>14779459.459459458</v>
      </c>
      <c r="J911" s="488">
        <f t="shared" si="33"/>
        <v>1625740.5405405404</v>
      </c>
      <c r="K911" s="474">
        <v>16405200</v>
      </c>
      <c r="L911" s="475"/>
    </row>
    <row r="912" spans="1:12" s="521" customFormat="1" x14ac:dyDescent="0.2">
      <c r="A912" s="517">
        <v>30</v>
      </c>
      <c r="B912" s="469" t="s">
        <v>1293</v>
      </c>
      <c r="C912" s="476" t="s">
        <v>4945</v>
      </c>
      <c r="D912" s="487" t="s">
        <v>2790</v>
      </c>
      <c r="E912" s="503" t="s">
        <v>2791</v>
      </c>
      <c r="F912" s="504" t="s">
        <v>2792</v>
      </c>
      <c r="G912" s="518" t="s">
        <v>3848</v>
      </c>
      <c r="H912" s="477">
        <v>45090</v>
      </c>
      <c r="I912" s="473">
        <f t="shared" si="32"/>
        <v>371891.89189189184</v>
      </c>
      <c r="J912" s="473">
        <f t="shared" si="33"/>
        <v>40908.108108108099</v>
      </c>
      <c r="K912" s="474">
        <v>412800</v>
      </c>
      <c r="L912" s="475"/>
    </row>
    <row r="913" spans="1:12" s="521" customFormat="1" x14ac:dyDescent="0.2">
      <c r="A913" s="517">
        <v>31</v>
      </c>
      <c r="B913" s="485" t="s">
        <v>1294</v>
      </c>
      <c r="C913" s="476" t="s">
        <v>4946</v>
      </c>
      <c r="D913" s="464" t="s">
        <v>2758</v>
      </c>
      <c r="E913" s="708" t="s">
        <v>2759</v>
      </c>
      <c r="F913" s="466" t="s">
        <v>2755</v>
      </c>
      <c r="G913" s="518" t="s">
        <v>3849</v>
      </c>
      <c r="H913" s="477">
        <v>45097</v>
      </c>
      <c r="I913" s="488">
        <f t="shared" si="32"/>
        <v>7647535.1351351347</v>
      </c>
      <c r="J913" s="488">
        <f t="shared" si="33"/>
        <v>841228.86486486485</v>
      </c>
      <c r="K913" s="474">
        <v>8488764</v>
      </c>
      <c r="L913" s="475"/>
    </row>
    <row r="914" spans="1:12" s="521" customFormat="1" x14ac:dyDescent="0.2">
      <c r="A914" s="517">
        <v>32</v>
      </c>
      <c r="B914" s="469" t="s">
        <v>1295</v>
      </c>
      <c r="C914" s="476" t="s">
        <v>4968</v>
      </c>
      <c r="D914" s="725" t="s">
        <v>3302</v>
      </c>
      <c r="E914" s="708" t="s">
        <v>3303</v>
      </c>
      <c r="F914" s="727" t="s">
        <v>2873</v>
      </c>
      <c r="G914" s="518" t="s">
        <v>3850</v>
      </c>
      <c r="H914" s="477">
        <v>45100</v>
      </c>
      <c r="I914" s="473">
        <f t="shared" si="32"/>
        <v>4272729.7297297297</v>
      </c>
      <c r="J914" s="473">
        <f t="shared" si="33"/>
        <v>470000.2702702703</v>
      </c>
      <c r="K914" s="474">
        <v>4742730</v>
      </c>
      <c r="L914" s="475"/>
    </row>
    <row r="915" spans="1:12" s="521" customFormat="1" x14ac:dyDescent="0.2">
      <c r="A915" s="517">
        <v>33</v>
      </c>
      <c r="B915" s="485" t="s">
        <v>1296</v>
      </c>
      <c r="C915" s="476" t="s">
        <v>4969</v>
      </c>
      <c r="D915" s="487" t="s">
        <v>2790</v>
      </c>
      <c r="E915" s="503" t="s">
        <v>2791</v>
      </c>
      <c r="F915" s="504" t="s">
        <v>2792</v>
      </c>
      <c r="G915" s="518" t="s">
        <v>3851</v>
      </c>
      <c r="H915" s="477">
        <v>45100</v>
      </c>
      <c r="I915" s="488">
        <f t="shared" si="32"/>
        <v>9241513.5135135129</v>
      </c>
      <c r="J915" s="488">
        <f t="shared" si="33"/>
        <v>1016566.4864864864</v>
      </c>
      <c r="K915" s="474">
        <v>10258080</v>
      </c>
      <c r="L915" s="478"/>
    </row>
    <row r="916" spans="1:12" s="521" customFormat="1" x14ac:dyDescent="0.2">
      <c r="A916" s="517">
        <v>34</v>
      </c>
      <c r="B916" s="469" t="s">
        <v>1297</v>
      </c>
      <c r="C916" s="476" t="s">
        <v>4974</v>
      </c>
      <c r="D916" s="464" t="s">
        <v>2871</v>
      </c>
      <c r="E916" s="465" t="s">
        <v>2872</v>
      </c>
      <c r="F916" s="466" t="s">
        <v>2873</v>
      </c>
      <c r="G916" s="518" t="s">
        <v>3852</v>
      </c>
      <c r="H916" s="477">
        <v>45101</v>
      </c>
      <c r="I916" s="473">
        <f t="shared" si="32"/>
        <v>401801.80180180178</v>
      </c>
      <c r="J916" s="473">
        <f t="shared" si="33"/>
        <v>44198.198198198195</v>
      </c>
      <c r="K916" s="474">
        <v>446000</v>
      </c>
      <c r="L916" s="475"/>
    </row>
    <row r="917" spans="1:12" s="521" customFormat="1" x14ac:dyDescent="0.2">
      <c r="A917" s="517">
        <v>35</v>
      </c>
      <c r="B917" s="485" t="s">
        <v>1298</v>
      </c>
      <c r="C917" s="476" t="s">
        <v>4997</v>
      </c>
      <c r="D917" s="487" t="s">
        <v>4931</v>
      </c>
      <c r="E917" s="503" t="s">
        <v>4940</v>
      </c>
      <c r="F917" s="504" t="s">
        <v>2808</v>
      </c>
      <c r="G917" s="518" t="s">
        <v>3853</v>
      </c>
      <c r="H917" s="477">
        <v>45103</v>
      </c>
      <c r="I917" s="488">
        <f t="shared" si="32"/>
        <v>37072094.59459459</v>
      </c>
      <c r="J917" s="488">
        <f t="shared" si="33"/>
        <v>4077930.405405405</v>
      </c>
      <c r="K917" s="474">
        <v>41150025</v>
      </c>
      <c r="L917" s="475"/>
    </row>
    <row r="918" spans="1:12" s="521" customFormat="1" x14ac:dyDescent="0.2">
      <c r="A918" s="517">
        <v>36</v>
      </c>
      <c r="B918" s="469" t="s">
        <v>1299</v>
      </c>
      <c r="C918" s="476" t="s">
        <v>4998</v>
      </c>
      <c r="D918" s="487" t="s">
        <v>4931</v>
      </c>
      <c r="E918" s="503" t="s">
        <v>4940</v>
      </c>
      <c r="F918" s="504" t="s">
        <v>2808</v>
      </c>
      <c r="G918" s="518" t="s">
        <v>3854</v>
      </c>
      <c r="H918" s="477">
        <v>45103</v>
      </c>
      <c r="I918" s="473">
        <f t="shared" si="32"/>
        <v>14488108.108108107</v>
      </c>
      <c r="J918" s="473">
        <f t="shared" si="33"/>
        <v>1593691.8918918918</v>
      </c>
      <c r="K918" s="474">
        <v>16081800</v>
      </c>
      <c r="L918" s="475"/>
    </row>
    <row r="919" spans="1:12" s="521" customFormat="1" x14ac:dyDescent="0.2">
      <c r="A919" s="517">
        <v>37</v>
      </c>
      <c r="B919" s="485" t="s">
        <v>1300</v>
      </c>
      <c r="C919" s="476" t="s">
        <v>4999</v>
      </c>
      <c r="D919" s="464" t="s">
        <v>4915</v>
      </c>
      <c r="E919" s="471" t="s">
        <v>4916</v>
      </c>
      <c r="F919" s="471" t="s">
        <v>2823</v>
      </c>
      <c r="G919" s="518" t="s">
        <v>3855</v>
      </c>
      <c r="H919" s="477">
        <v>45103</v>
      </c>
      <c r="I919" s="488">
        <f t="shared" si="32"/>
        <v>4891328.8288288284</v>
      </c>
      <c r="J919" s="488">
        <f t="shared" si="33"/>
        <v>538046.17117117113</v>
      </c>
      <c r="K919" s="474">
        <v>5429375</v>
      </c>
      <c r="L919" s="475"/>
    </row>
    <row r="920" spans="1:12" s="521" customFormat="1" x14ac:dyDescent="0.2">
      <c r="A920" s="517">
        <v>38</v>
      </c>
      <c r="B920" s="469" t="s">
        <v>1301</v>
      </c>
      <c r="C920" s="476" t="s">
        <v>5000</v>
      </c>
      <c r="D920" s="725" t="s">
        <v>3302</v>
      </c>
      <c r="E920" s="708" t="s">
        <v>3303</v>
      </c>
      <c r="F920" s="727" t="s">
        <v>2873</v>
      </c>
      <c r="G920" s="518" t="s">
        <v>3856</v>
      </c>
      <c r="H920" s="477">
        <v>45103</v>
      </c>
      <c r="I920" s="473">
        <f t="shared" si="32"/>
        <v>2494702.7027027025</v>
      </c>
      <c r="J920" s="473">
        <f t="shared" si="33"/>
        <v>274417.29729729728</v>
      </c>
      <c r="K920" s="474">
        <v>2769120</v>
      </c>
      <c r="L920" s="475"/>
    </row>
    <row r="921" spans="1:12" s="521" customFormat="1" x14ac:dyDescent="0.2">
      <c r="A921" s="517">
        <v>39</v>
      </c>
      <c r="B921" s="485" t="s">
        <v>1302</v>
      </c>
      <c r="C921" s="476" t="s">
        <v>5001</v>
      </c>
      <c r="D921" s="487" t="s">
        <v>2790</v>
      </c>
      <c r="E921" s="503" t="s">
        <v>2791</v>
      </c>
      <c r="F921" s="504" t="s">
        <v>2792</v>
      </c>
      <c r="G921" s="518" t="s">
        <v>3857</v>
      </c>
      <c r="H921" s="477">
        <v>45103</v>
      </c>
      <c r="I921" s="488">
        <f t="shared" si="32"/>
        <v>920432.43243243231</v>
      </c>
      <c r="J921" s="488">
        <f t="shared" si="33"/>
        <v>101247.56756756756</v>
      </c>
      <c r="K921" s="474">
        <v>1021680</v>
      </c>
      <c r="L921" s="475"/>
    </row>
    <row r="922" spans="1:12" s="521" customFormat="1" x14ac:dyDescent="0.2">
      <c r="A922" s="517">
        <v>40</v>
      </c>
      <c r="B922" s="469" t="s">
        <v>1303</v>
      </c>
      <c r="C922" s="476" t="s">
        <v>5002</v>
      </c>
      <c r="D922" s="464" t="s">
        <v>2849</v>
      </c>
      <c r="E922" s="471" t="s">
        <v>2850</v>
      </c>
      <c r="F922" s="471" t="s">
        <v>2851</v>
      </c>
      <c r="G922" s="518" t="s">
        <v>3858</v>
      </c>
      <c r="H922" s="477">
        <v>45104</v>
      </c>
      <c r="I922" s="473">
        <f t="shared" si="32"/>
        <v>2424099.0990990987</v>
      </c>
      <c r="J922" s="473">
        <f t="shared" si="33"/>
        <v>266650.90090090089</v>
      </c>
      <c r="K922" s="474">
        <v>2690750</v>
      </c>
      <c r="L922" s="475"/>
    </row>
    <row r="923" spans="1:12" s="521" customFormat="1" x14ac:dyDescent="0.2">
      <c r="A923" s="517">
        <v>41</v>
      </c>
      <c r="B923" s="485" t="s">
        <v>1304</v>
      </c>
      <c r="C923" s="476" t="s">
        <v>5003</v>
      </c>
      <c r="D923" s="487" t="s">
        <v>4931</v>
      </c>
      <c r="E923" s="503" t="s">
        <v>4940</v>
      </c>
      <c r="F923" s="504" t="s">
        <v>2808</v>
      </c>
      <c r="G923" s="518" t="s">
        <v>3859</v>
      </c>
      <c r="H923" s="477">
        <v>45105</v>
      </c>
      <c r="I923" s="488">
        <f t="shared" si="32"/>
        <v>19698378.378378376</v>
      </c>
      <c r="J923" s="488">
        <f t="shared" si="33"/>
        <v>2166821.6216216213</v>
      </c>
      <c r="K923" s="474">
        <v>21865200</v>
      </c>
      <c r="L923" s="475"/>
    </row>
    <row r="924" spans="1:12" s="521" customFormat="1" x14ac:dyDescent="0.2">
      <c r="A924" s="517">
        <v>42</v>
      </c>
      <c r="B924" s="469" t="s">
        <v>1305</v>
      </c>
      <c r="C924" s="476" t="s">
        <v>5012</v>
      </c>
      <c r="D924" s="464" t="s">
        <v>2758</v>
      </c>
      <c r="E924" s="708" t="s">
        <v>2759</v>
      </c>
      <c r="F924" s="466" t="s">
        <v>2755</v>
      </c>
      <c r="G924" s="518" t="s">
        <v>3860</v>
      </c>
      <c r="H924" s="477">
        <v>45107</v>
      </c>
      <c r="I924" s="473">
        <f t="shared" si="32"/>
        <v>6968627.0270270268</v>
      </c>
      <c r="J924" s="473">
        <f t="shared" si="33"/>
        <v>766548.9729729729</v>
      </c>
      <c r="K924" s="474">
        <v>7735176</v>
      </c>
      <c r="L924" s="475"/>
    </row>
    <row r="925" spans="1:12" s="521" customFormat="1" x14ac:dyDescent="0.2">
      <c r="A925" s="517">
        <v>43</v>
      </c>
      <c r="B925" s="485" t="s">
        <v>1306</v>
      </c>
      <c r="C925" s="476" t="s">
        <v>5021</v>
      </c>
      <c r="D925" s="464" t="s">
        <v>2806</v>
      </c>
      <c r="E925" s="465" t="s">
        <v>2807</v>
      </c>
      <c r="F925" s="466" t="s">
        <v>2808</v>
      </c>
      <c r="G925" s="518" t="s">
        <v>3861</v>
      </c>
      <c r="H925" s="477">
        <v>45107</v>
      </c>
      <c r="I925" s="488">
        <f t="shared" si="32"/>
        <v>8854054.0540540535</v>
      </c>
      <c r="J925" s="488">
        <f t="shared" si="33"/>
        <v>973945.94594594592</v>
      </c>
      <c r="K925" s="474">
        <v>9828000</v>
      </c>
      <c r="L925" s="475"/>
    </row>
    <row r="926" spans="1:12" s="521" customFormat="1" x14ac:dyDescent="0.2">
      <c r="A926" s="517">
        <v>44</v>
      </c>
      <c r="B926" s="469" t="s">
        <v>1307</v>
      </c>
      <c r="C926" s="476" t="s">
        <v>5022</v>
      </c>
      <c r="D926" s="487" t="s">
        <v>4931</v>
      </c>
      <c r="E926" s="503" t="s">
        <v>4940</v>
      </c>
      <c r="F926" s="504" t="s">
        <v>2808</v>
      </c>
      <c r="G926" s="518" t="s">
        <v>3862</v>
      </c>
      <c r="H926" s="477">
        <v>45107</v>
      </c>
      <c r="I926" s="473">
        <f t="shared" si="32"/>
        <v>46393603.603603601</v>
      </c>
      <c r="J926" s="473">
        <f t="shared" si="33"/>
        <v>5103296.3963963958</v>
      </c>
      <c r="K926" s="474">
        <v>51496900</v>
      </c>
      <c r="L926" s="475"/>
    </row>
    <row r="927" spans="1:12" s="521" customFormat="1" x14ac:dyDescent="0.2">
      <c r="A927" s="517">
        <v>45</v>
      </c>
      <c r="B927" s="485" t="s">
        <v>1308</v>
      </c>
      <c r="C927" s="476" t="s">
        <v>5023</v>
      </c>
      <c r="D927" s="487" t="s">
        <v>4931</v>
      </c>
      <c r="E927" s="503" t="s">
        <v>4940</v>
      </c>
      <c r="F927" s="504" t="s">
        <v>2808</v>
      </c>
      <c r="G927" s="518" t="s">
        <v>3863</v>
      </c>
      <c r="H927" s="477">
        <v>45107</v>
      </c>
      <c r="I927" s="488">
        <f t="shared" si="32"/>
        <v>3272972.9729729728</v>
      </c>
      <c r="J927" s="488">
        <f t="shared" si="33"/>
        <v>360027.02702702698</v>
      </c>
      <c r="K927" s="474">
        <v>3633000</v>
      </c>
      <c r="L927" s="475"/>
    </row>
    <row r="928" spans="1:12" s="521" customFormat="1" x14ac:dyDescent="0.2">
      <c r="A928" s="517">
        <v>46</v>
      </c>
      <c r="B928" s="485" t="s">
        <v>1310</v>
      </c>
      <c r="C928" s="476" t="s">
        <v>5345</v>
      </c>
      <c r="D928" s="464" t="s">
        <v>2783</v>
      </c>
      <c r="E928" s="465" t="s">
        <v>2784</v>
      </c>
      <c r="F928" s="466" t="s">
        <v>2785</v>
      </c>
      <c r="G928" s="518" t="s">
        <v>3864</v>
      </c>
      <c r="H928" s="477">
        <v>45107</v>
      </c>
      <c r="I928" s="473">
        <f>K928/1.11</f>
        <v>2254504.5045045041</v>
      </c>
      <c r="J928" s="473">
        <f>I928*11%</f>
        <v>247995.49549549544</v>
      </c>
      <c r="K928" s="474">
        <v>2502500</v>
      </c>
      <c r="L928" s="475"/>
    </row>
    <row r="929" spans="1:12" s="521" customFormat="1" x14ac:dyDescent="0.2">
      <c r="A929" s="517">
        <v>47</v>
      </c>
      <c r="B929" s="485" t="s">
        <v>1309</v>
      </c>
      <c r="C929" s="476" t="s">
        <v>5320</v>
      </c>
      <c r="D929" s="464" t="s">
        <v>4915</v>
      </c>
      <c r="E929" s="471" t="s">
        <v>4916</v>
      </c>
      <c r="F929" s="471" t="s">
        <v>2823</v>
      </c>
      <c r="G929" s="518" t="s">
        <v>3865</v>
      </c>
      <c r="H929" s="477">
        <v>45098</v>
      </c>
      <c r="I929" s="488">
        <f t="shared" si="32"/>
        <v>2406486.4864864862</v>
      </c>
      <c r="J929" s="488">
        <f t="shared" si="33"/>
        <v>264713.51351351349</v>
      </c>
      <c r="K929" s="474">
        <v>2671200</v>
      </c>
      <c r="L929" s="475"/>
    </row>
    <row r="930" spans="1:12" x14ac:dyDescent="0.2">
      <c r="A930" s="305">
        <v>48</v>
      </c>
      <c r="B930" s="469" t="s">
        <v>1311</v>
      </c>
      <c r="C930" s="476" t="s">
        <v>5258</v>
      </c>
      <c r="D930" s="464"/>
      <c r="E930" s="465" t="s">
        <v>2948</v>
      </c>
      <c r="F930" s="466" t="s">
        <v>2892</v>
      </c>
      <c r="G930" s="518"/>
      <c r="H930" s="477">
        <v>45082</v>
      </c>
      <c r="I930" s="473">
        <f t="shared" si="32"/>
        <v>9927243.2432432417</v>
      </c>
      <c r="J930" s="473">
        <f t="shared" si="33"/>
        <v>1091996.7567567567</v>
      </c>
      <c r="K930" s="474">
        <f>2363904+1969920+6685416</f>
        <v>11019240</v>
      </c>
      <c r="L930" s="475"/>
    </row>
    <row r="931" spans="1:12" x14ac:dyDescent="0.2">
      <c r="A931" s="305">
        <v>49</v>
      </c>
      <c r="B931" s="485" t="s">
        <v>1312</v>
      </c>
      <c r="C931" s="476" t="s">
        <v>5241</v>
      </c>
      <c r="D931" s="464"/>
      <c r="E931" s="465" t="s">
        <v>3151</v>
      </c>
      <c r="F931" s="466" t="s">
        <v>2994</v>
      </c>
      <c r="G931" s="518"/>
      <c r="H931" s="477">
        <v>45082</v>
      </c>
      <c r="I931" s="488">
        <f t="shared" si="32"/>
        <v>5939708.1081081079</v>
      </c>
      <c r="J931" s="488">
        <f t="shared" si="33"/>
        <v>653367.89189189184</v>
      </c>
      <c r="K931" s="474">
        <f>1939140+4653936</f>
        <v>6593076</v>
      </c>
      <c r="L931" s="475"/>
    </row>
    <row r="932" spans="1:12" x14ac:dyDescent="0.2">
      <c r="A932" s="305">
        <v>50</v>
      </c>
      <c r="B932" s="469" t="s">
        <v>1313</v>
      </c>
      <c r="C932" s="476" t="s">
        <v>5046</v>
      </c>
      <c r="D932" s="464"/>
      <c r="E932" s="465" t="s">
        <v>2897</v>
      </c>
      <c r="F932" s="466" t="s">
        <v>2879</v>
      </c>
      <c r="G932" s="518"/>
      <c r="H932" s="477">
        <v>45082</v>
      </c>
      <c r="I932" s="473">
        <f t="shared" si="32"/>
        <v>2176303.6036036033</v>
      </c>
      <c r="J932" s="473">
        <f t="shared" si="33"/>
        <v>239393.39639639636</v>
      </c>
      <c r="K932" s="474">
        <f>746500+1669197</f>
        <v>2415697</v>
      </c>
      <c r="L932" s="475"/>
    </row>
    <row r="933" spans="1:12" x14ac:dyDescent="0.2">
      <c r="A933" s="305">
        <v>51</v>
      </c>
      <c r="B933" s="485" t="s">
        <v>1314</v>
      </c>
      <c r="C933" s="476" t="s">
        <v>5245</v>
      </c>
      <c r="D933" s="464"/>
      <c r="E933" s="465" t="s">
        <v>6909</v>
      </c>
      <c r="F933" s="466" t="s">
        <v>2886</v>
      </c>
      <c r="G933" s="518"/>
      <c r="H933" s="477">
        <v>45083</v>
      </c>
      <c r="I933" s="488">
        <f t="shared" si="32"/>
        <v>4912671.1711711707</v>
      </c>
      <c r="J933" s="488">
        <f t="shared" si="33"/>
        <v>540393.82882882876</v>
      </c>
      <c r="K933" s="474">
        <f>1740000+3713065</f>
        <v>5453065</v>
      </c>
      <c r="L933" s="475"/>
    </row>
    <row r="934" spans="1:12" x14ac:dyDescent="0.2">
      <c r="A934" s="305">
        <v>52</v>
      </c>
      <c r="B934" s="469" t="s">
        <v>1315</v>
      </c>
      <c r="C934" s="476" t="s">
        <v>5040</v>
      </c>
      <c r="D934" s="464"/>
      <c r="E934" s="465" t="s">
        <v>3080</v>
      </c>
      <c r="F934" s="466" t="s">
        <v>2982</v>
      </c>
      <c r="G934" s="518"/>
      <c r="H934" s="477">
        <v>45083</v>
      </c>
      <c r="I934" s="473">
        <f t="shared" si="32"/>
        <v>648648.64864864864</v>
      </c>
      <c r="J934" s="473">
        <f t="shared" si="33"/>
        <v>71351.351351351346</v>
      </c>
      <c r="K934" s="474">
        <v>720000</v>
      </c>
      <c r="L934" s="475"/>
    </row>
    <row r="935" spans="1:12" x14ac:dyDescent="0.2">
      <c r="A935" s="305">
        <v>53</v>
      </c>
      <c r="B935" s="485" t="s">
        <v>1316</v>
      </c>
      <c r="C935" s="476" t="s">
        <v>5178</v>
      </c>
      <c r="D935" s="464"/>
      <c r="E935" s="471" t="s">
        <v>5041</v>
      </c>
      <c r="F935" s="466" t="s">
        <v>2828</v>
      </c>
      <c r="G935" s="518"/>
      <c r="H935" s="472">
        <v>45083</v>
      </c>
      <c r="I935" s="488">
        <f t="shared" si="32"/>
        <v>19439144.144144144</v>
      </c>
      <c r="J935" s="488">
        <f t="shared" si="33"/>
        <v>2138305.8558558556</v>
      </c>
      <c r="K935" s="474">
        <f>5109480+16467970</f>
        <v>21577450</v>
      </c>
      <c r="L935" s="475"/>
    </row>
    <row r="936" spans="1:12" x14ac:dyDescent="0.2">
      <c r="A936" s="305">
        <v>54</v>
      </c>
      <c r="B936" s="469" t="s">
        <v>1317</v>
      </c>
      <c r="C936" s="476" t="s">
        <v>5288</v>
      </c>
      <c r="D936" s="464"/>
      <c r="E936" s="465" t="s">
        <v>3106</v>
      </c>
      <c r="F936" s="466" t="s">
        <v>2946</v>
      </c>
      <c r="G936" s="518"/>
      <c r="H936" s="477">
        <v>45083</v>
      </c>
      <c r="I936" s="473">
        <f t="shared" si="32"/>
        <v>6818018.0180180175</v>
      </c>
      <c r="J936" s="473">
        <f t="shared" si="33"/>
        <v>749981.98198198189</v>
      </c>
      <c r="K936" s="474">
        <f>1882675+1859625+2561700+1264000</f>
        <v>7568000</v>
      </c>
      <c r="L936" s="475"/>
    </row>
    <row r="937" spans="1:12" x14ac:dyDescent="0.2">
      <c r="A937" s="305">
        <v>55</v>
      </c>
      <c r="B937" s="485" t="s">
        <v>1318</v>
      </c>
      <c r="C937" s="476" t="s">
        <v>5190</v>
      </c>
      <c r="D937" s="464"/>
      <c r="E937" s="465" t="s">
        <v>2891</v>
      </c>
      <c r="F937" s="466" t="s">
        <v>2873</v>
      </c>
      <c r="G937" s="518"/>
      <c r="H937" s="477">
        <v>45084</v>
      </c>
      <c r="I937" s="488">
        <f t="shared" si="32"/>
        <v>1935997.297297297</v>
      </c>
      <c r="J937" s="488">
        <f t="shared" si="33"/>
        <v>212959.70270270266</v>
      </c>
      <c r="K937" s="474">
        <f>1818072+330885</f>
        <v>2148957</v>
      </c>
      <c r="L937" s="475"/>
    </row>
    <row r="938" spans="1:12" x14ac:dyDescent="0.2">
      <c r="A938" s="305">
        <v>56</v>
      </c>
      <c r="B938" s="469" t="s">
        <v>1319</v>
      </c>
      <c r="C938" s="476" t="s">
        <v>5042</v>
      </c>
      <c r="D938" s="464"/>
      <c r="E938" s="479" t="s">
        <v>4008</v>
      </c>
      <c r="F938" s="466" t="s">
        <v>2828</v>
      </c>
      <c r="G938" s="518"/>
      <c r="H938" s="477">
        <v>45084</v>
      </c>
      <c r="I938" s="473">
        <f t="shared" si="32"/>
        <v>3329729.7297297292</v>
      </c>
      <c r="J938" s="473">
        <f t="shared" si="33"/>
        <v>366270.27027027024</v>
      </c>
      <c r="K938" s="474">
        <v>3696000</v>
      </c>
      <c r="L938" s="475"/>
    </row>
    <row r="939" spans="1:12" x14ac:dyDescent="0.2">
      <c r="A939" s="305">
        <v>57</v>
      </c>
      <c r="B939" s="485" t="s">
        <v>1320</v>
      </c>
      <c r="C939" s="476" t="s">
        <v>5044</v>
      </c>
      <c r="D939" s="464"/>
      <c r="E939" s="465" t="s">
        <v>2898</v>
      </c>
      <c r="F939" s="466" t="s">
        <v>2823</v>
      </c>
      <c r="G939" s="518"/>
      <c r="H939" s="477">
        <v>45082</v>
      </c>
      <c r="I939" s="488">
        <f t="shared" si="32"/>
        <v>33791140.540540539</v>
      </c>
      <c r="J939" s="488">
        <f t="shared" si="33"/>
        <v>3717025.4594594594</v>
      </c>
      <c r="K939" s="474">
        <f>7704918+6402240+23401008</f>
        <v>37508166</v>
      </c>
      <c r="L939" s="475"/>
    </row>
    <row r="940" spans="1:12" x14ac:dyDescent="0.2">
      <c r="A940" s="305">
        <v>58</v>
      </c>
      <c r="B940" s="469" t="s">
        <v>1321</v>
      </c>
      <c r="C940" s="476" t="s">
        <v>5234</v>
      </c>
      <c r="D940" s="464"/>
      <c r="E940" s="465" t="s">
        <v>2907</v>
      </c>
      <c r="F940" s="466" t="s">
        <v>2908</v>
      </c>
      <c r="G940" s="518"/>
      <c r="H940" s="477">
        <v>45082</v>
      </c>
      <c r="I940" s="473">
        <f t="shared" si="32"/>
        <v>4730229.7297297297</v>
      </c>
      <c r="J940" s="473">
        <f t="shared" si="33"/>
        <v>520325.2702702703</v>
      </c>
      <c r="K940" s="474">
        <f>878427+2850228+1521900</f>
        <v>5250555</v>
      </c>
      <c r="L940" s="475"/>
    </row>
    <row r="941" spans="1:12" x14ac:dyDescent="0.2">
      <c r="A941" s="305">
        <v>59</v>
      </c>
      <c r="B941" s="485" t="s">
        <v>1322</v>
      </c>
      <c r="C941" s="476" t="s">
        <v>5225</v>
      </c>
      <c r="D941" s="464"/>
      <c r="E941" s="465" t="s">
        <v>2881</v>
      </c>
      <c r="F941" s="466" t="s">
        <v>2808</v>
      </c>
      <c r="G941" s="518"/>
      <c r="H941" s="477">
        <v>45084</v>
      </c>
      <c r="I941" s="488">
        <f t="shared" si="32"/>
        <v>5119832.4324324317</v>
      </c>
      <c r="J941" s="488">
        <f t="shared" si="33"/>
        <v>563181.56756756746</v>
      </c>
      <c r="K941" s="474">
        <f>353970+3523284+1805760</f>
        <v>5683014</v>
      </c>
      <c r="L941" s="475"/>
    </row>
    <row r="942" spans="1:12" x14ac:dyDescent="0.2">
      <c r="A942" s="305">
        <v>60</v>
      </c>
      <c r="B942" s="469" t="s">
        <v>1323</v>
      </c>
      <c r="C942" s="476" t="s">
        <v>5047</v>
      </c>
      <c r="D942" s="464"/>
      <c r="E942" s="465" t="s">
        <v>2934</v>
      </c>
      <c r="F942" s="466" t="s">
        <v>2935</v>
      </c>
      <c r="G942" s="518"/>
      <c r="H942" s="477">
        <v>45084</v>
      </c>
      <c r="I942" s="473">
        <f t="shared" si="32"/>
        <v>13057621.62162162</v>
      </c>
      <c r="J942" s="473">
        <f t="shared" si="33"/>
        <v>1436338.3783783782</v>
      </c>
      <c r="K942" s="474">
        <f>2628270+10096524+1769166</f>
        <v>14493960</v>
      </c>
      <c r="L942" s="475"/>
    </row>
    <row r="943" spans="1:12" x14ac:dyDescent="0.2">
      <c r="A943" s="305">
        <v>61</v>
      </c>
      <c r="B943" s="485" t="s">
        <v>1324</v>
      </c>
      <c r="C943" s="476" t="s">
        <v>5043</v>
      </c>
      <c r="D943" s="464"/>
      <c r="E943" s="465" t="s">
        <v>2900</v>
      </c>
      <c r="F943" s="466" t="s">
        <v>2823</v>
      </c>
      <c r="G943" s="518"/>
      <c r="H943" s="477">
        <v>45084</v>
      </c>
      <c r="I943" s="488">
        <f t="shared" si="32"/>
        <v>31723735.135135133</v>
      </c>
      <c r="J943" s="488">
        <f t="shared" si="33"/>
        <v>3489610.8648648649</v>
      </c>
      <c r="K943" s="474">
        <f>15997392+18007326+1208628</f>
        <v>35213346</v>
      </c>
      <c r="L943" s="475"/>
    </row>
    <row r="944" spans="1:12" x14ac:dyDescent="0.2">
      <c r="A944" s="305">
        <v>62</v>
      </c>
      <c r="B944" s="469" t="s">
        <v>1325</v>
      </c>
      <c r="C944" s="476" t="s">
        <v>5224</v>
      </c>
      <c r="D944" s="464"/>
      <c r="E944" s="465" t="s">
        <v>2947</v>
      </c>
      <c r="F944" s="466" t="s">
        <v>2823</v>
      </c>
      <c r="G944" s="518"/>
      <c r="H944" s="477">
        <v>45084</v>
      </c>
      <c r="I944" s="473">
        <f t="shared" si="32"/>
        <v>14421308.108108107</v>
      </c>
      <c r="J944" s="473">
        <f t="shared" si="33"/>
        <v>1586343.8918918918</v>
      </c>
      <c r="K944" s="474">
        <f>6625908+6186780+3194964</f>
        <v>16007652</v>
      </c>
      <c r="L944" s="475"/>
    </row>
    <row r="945" spans="1:12" x14ac:dyDescent="0.2">
      <c r="A945" s="305">
        <v>63</v>
      </c>
      <c r="B945" s="485" t="s">
        <v>1326</v>
      </c>
      <c r="C945" s="476" t="s">
        <v>5346</v>
      </c>
      <c r="D945" s="464"/>
      <c r="E945" s="465" t="s">
        <v>2958</v>
      </c>
      <c r="F945" s="466" t="s">
        <v>2823</v>
      </c>
      <c r="G945" s="518"/>
      <c r="H945" s="477">
        <v>45091</v>
      </c>
      <c r="I945" s="488">
        <f t="shared" si="32"/>
        <v>16571594.594594592</v>
      </c>
      <c r="J945" s="488">
        <f t="shared" si="33"/>
        <v>1822875.4054054052</v>
      </c>
      <c r="K945" s="474">
        <f>2487024+13297302+2610144</f>
        <v>18394470</v>
      </c>
      <c r="L945" s="475"/>
    </row>
    <row r="946" spans="1:12" x14ac:dyDescent="0.2">
      <c r="A946" s="305">
        <v>64</v>
      </c>
      <c r="B946" s="469" t="s">
        <v>1327</v>
      </c>
      <c r="C946" s="476" t="s">
        <v>5356</v>
      </c>
      <c r="D946" s="464"/>
      <c r="E946" s="465" t="s">
        <v>2937</v>
      </c>
      <c r="F946" s="466" t="s">
        <v>2823</v>
      </c>
      <c r="G946" s="518"/>
      <c r="H946" s="477">
        <v>45091</v>
      </c>
      <c r="I946" s="473">
        <f t="shared" si="32"/>
        <v>37200664.864864863</v>
      </c>
      <c r="J946" s="473">
        <f t="shared" si="33"/>
        <v>4092073.1351351351</v>
      </c>
      <c r="K946" s="474">
        <f>12139461+18529047+10624230</f>
        <v>41292738</v>
      </c>
      <c r="L946" s="475"/>
    </row>
    <row r="947" spans="1:12" x14ac:dyDescent="0.2">
      <c r="A947" s="305">
        <v>65</v>
      </c>
      <c r="B947" s="485" t="s">
        <v>1328</v>
      </c>
      <c r="C947" s="476" t="s">
        <v>5319</v>
      </c>
      <c r="D947" s="464"/>
      <c r="E947" s="465" t="s">
        <v>2900</v>
      </c>
      <c r="F947" s="466" t="s">
        <v>2823</v>
      </c>
      <c r="G947" s="518"/>
      <c r="H947" s="477">
        <v>45092</v>
      </c>
      <c r="I947" s="488">
        <f t="shared" si="32"/>
        <v>73699556.756756753</v>
      </c>
      <c r="J947" s="488">
        <f t="shared" si="33"/>
        <v>8106951.2432432426</v>
      </c>
      <c r="K947" s="474">
        <f>5552712+56971728+19282068</f>
        <v>81806508</v>
      </c>
      <c r="L947" s="475"/>
    </row>
    <row r="948" spans="1:12" x14ac:dyDescent="0.2">
      <c r="A948" s="305">
        <v>66</v>
      </c>
      <c r="B948" s="469" t="s">
        <v>1329</v>
      </c>
      <c r="C948" s="476" t="s">
        <v>5045</v>
      </c>
      <c r="D948" s="464"/>
      <c r="E948" s="465" t="s">
        <v>2898</v>
      </c>
      <c r="F948" s="466" t="s">
        <v>2823</v>
      </c>
      <c r="G948" s="518"/>
      <c r="H948" s="477">
        <v>45092</v>
      </c>
      <c r="I948" s="473">
        <f t="shared" si="32"/>
        <v>46831970.270270266</v>
      </c>
      <c r="J948" s="473">
        <f t="shared" si="33"/>
        <v>5151516.7297297297</v>
      </c>
      <c r="K948" s="474">
        <f>3490794+25540218+22952475</f>
        <v>51983487</v>
      </c>
      <c r="L948" s="475"/>
    </row>
    <row r="949" spans="1:12" x14ac:dyDescent="0.2">
      <c r="A949" s="305">
        <v>67</v>
      </c>
      <c r="B949" s="485" t="s">
        <v>1330</v>
      </c>
      <c r="C949" s="476" t="s">
        <v>5175</v>
      </c>
      <c r="D949" s="464"/>
      <c r="E949" s="465" t="s">
        <v>2933</v>
      </c>
      <c r="F949" s="466" t="s">
        <v>2823</v>
      </c>
      <c r="G949" s="518"/>
      <c r="H949" s="477">
        <v>45086</v>
      </c>
      <c r="I949" s="488">
        <f t="shared" ref="I949:I1012" si="34">K949/1.11</f>
        <v>19671607.207207207</v>
      </c>
      <c r="J949" s="488">
        <f t="shared" ref="J949:J1012" si="35">I949*11%</f>
        <v>2163876.7927927929</v>
      </c>
      <c r="K949" s="474">
        <f>2511648+13775228+5548608</f>
        <v>21835484</v>
      </c>
      <c r="L949" s="475"/>
    </row>
    <row r="950" spans="1:12" x14ac:dyDescent="0.2">
      <c r="A950" s="305">
        <v>68</v>
      </c>
      <c r="B950" s="469" t="s">
        <v>1331</v>
      </c>
      <c r="C950" s="476" t="s">
        <v>5347</v>
      </c>
      <c r="D950" s="464"/>
      <c r="E950" s="465" t="s">
        <v>3923</v>
      </c>
      <c r="F950" s="466" t="s">
        <v>3924</v>
      </c>
      <c r="G950" s="518"/>
      <c r="H950" s="477">
        <v>45094</v>
      </c>
      <c r="I950" s="473">
        <f t="shared" si="34"/>
        <v>23982731.531531528</v>
      </c>
      <c r="J950" s="473">
        <f t="shared" si="35"/>
        <v>2638100.4684684682</v>
      </c>
      <c r="K950" s="474">
        <f>6685416+13250000+6685416</f>
        <v>26620832</v>
      </c>
      <c r="L950" s="475"/>
    </row>
    <row r="951" spans="1:12" x14ac:dyDescent="0.2">
      <c r="A951" s="305">
        <v>69</v>
      </c>
      <c r="B951" s="485" t="s">
        <v>1332</v>
      </c>
      <c r="C951" s="476" t="s">
        <v>5048</v>
      </c>
      <c r="D951" s="464"/>
      <c r="E951" s="465" t="s">
        <v>4049</v>
      </c>
      <c r="F951" s="466" t="s">
        <v>2828</v>
      </c>
      <c r="G951" s="518"/>
      <c r="H951" s="477">
        <v>45083</v>
      </c>
      <c r="I951" s="488">
        <f t="shared" si="34"/>
        <v>5885210.81081081</v>
      </c>
      <c r="J951" s="488">
        <f t="shared" si="35"/>
        <v>647373.18918918911</v>
      </c>
      <c r="K951" s="474">
        <v>6532584</v>
      </c>
      <c r="L951" s="475"/>
    </row>
    <row r="952" spans="1:12" x14ac:dyDescent="0.2">
      <c r="A952" s="305">
        <v>70</v>
      </c>
      <c r="B952" s="469" t="s">
        <v>1333</v>
      </c>
      <c r="C952" s="476" t="s">
        <v>5266</v>
      </c>
      <c r="D952" s="464"/>
      <c r="E952" s="465" t="s">
        <v>4322</v>
      </c>
      <c r="F952" s="466" t="s">
        <v>3092</v>
      </c>
      <c r="G952" s="518"/>
      <c r="H952" s="477">
        <v>45083</v>
      </c>
      <c r="I952" s="473">
        <f t="shared" si="34"/>
        <v>3323574.7747747744</v>
      </c>
      <c r="J952" s="473">
        <f t="shared" si="35"/>
        <v>365593.22522522521</v>
      </c>
      <c r="K952" s="474">
        <f>2094876+1274292+320000</f>
        <v>3689168</v>
      </c>
      <c r="L952" s="475"/>
    </row>
    <row r="953" spans="1:12" x14ac:dyDescent="0.2">
      <c r="A953" s="305">
        <v>71</v>
      </c>
      <c r="B953" s="485" t="s">
        <v>1334</v>
      </c>
      <c r="C953" s="476" t="s">
        <v>5256</v>
      </c>
      <c r="D953" s="464"/>
      <c r="E953" s="465" t="s">
        <v>3087</v>
      </c>
      <c r="F953" s="466" t="s">
        <v>2919</v>
      </c>
      <c r="G953" s="518"/>
      <c r="H953" s="477">
        <v>45083</v>
      </c>
      <c r="I953" s="488">
        <f t="shared" si="34"/>
        <v>3626146.8468468464</v>
      </c>
      <c r="J953" s="488">
        <f t="shared" si="35"/>
        <v>398876.15315315308</v>
      </c>
      <c r="K953" s="474">
        <f>1870539+991000+1163484</f>
        <v>4025023</v>
      </c>
      <c r="L953" s="475"/>
    </row>
    <row r="954" spans="1:12" x14ac:dyDescent="0.2">
      <c r="A954" s="305">
        <v>72</v>
      </c>
      <c r="B954" s="469" t="s">
        <v>1335</v>
      </c>
      <c r="C954" s="476" t="s">
        <v>5223</v>
      </c>
      <c r="D954" s="464"/>
      <c r="E954" s="465" t="s">
        <v>3164</v>
      </c>
      <c r="F954" s="466" t="s">
        <v>2928</v>
      </c>
      <c r="G954" s="518"/>
      <c r="H954" s="477">
        <v>45085</v>
      </c>
      <c r="I954" s="473">
        <f t="shared" si="34"/>
        <v>12309843.243243242</v>
      </c>
      <c r="J954" s="473">
        <f t="shared" si="35"/>
        <v>1354082.7567567567</v>
      </c>
      <c r="K954" s="474">
        <f>9987084+3281832+395010</f>
        <v>13663926</v>
      </c>
      <c r="L954" s="475"/>
    </row>
    <row r="955" spans="1:12" x14ac:dyDescent="0.2">
      <c r="A955" s="305">
        <v>73</v>
      </c>
      <c r="B955" s="485" t="s">
        <v>1336</v>
      </c>
      <c r="C955" s="476" t="s">
        <v>5278</v>
      </c>
      <c r="D955" s="464"/>
      <c r="E955" s="471" t="s">
        <v>2894</v>
      </c>
      <c r="F955" s="471" t="s">
        <v>3061</v>
      </c>
      <c r="G955" s="464"/>
      <c r="H955" s="472">
        <v>45085</v>
      </c>
      <c r="I955" s="488">
        <f t="shared" si="34"/>
        <v>7351711.7117117113</v>
      </c>
      <c r="J955" s="488">
        <f t="shared" si="35"/>
        <v>808688.28828828828</v>
      </c>
      <c r="K955" s="474">
        <f>1710400+6450000</f>
        <v>8160400</v>
      </c>
      <c r="L955" s="475"/>
    </row>
    <row r="956" spans="1:12" x14ac:dyDescent="0.2">
      <c r="A956" s="305">
        <v>74</v>
      </c>
      <c r="B956" s="469" t="s">
        <v>1337</v>
      </c>
      <c r="C956" s="476" t="s">
        <v>5049</v>
      </c>
      <c r="D956" s="464"/>
      <c r="E956" s="465" t="s">
        <v>3474</v>
      </c>
      <c r="F956" s="466" t="s">
        <v>2755</v>
      </c>
      <c r="G956" s="464"/>
      <c r="H956" s="477">
        <v>45085</v>
      </c>
      <c r="I956" s="473">
        <f t="shared" si="34"/>
        <v>1319935.1351351349</v>
      </c>
      <c r="J956" s="473">
        <f t="shared" si="35"/>
        <v>145192.86486486485</v>
      </c>
      <c r="K956" s="474">
        <v>1465128</v>
      </c>
      <c r="L956" s="475"/>
    </row>
    <row r="957" spans="1:12" x14ac:dyDescent="0.2">
      <c r="A957" s="305">
        <v>75</v>
      </c>
      <c r="B957" s="485" t="s">
        <v>1338</v>
      </c>
      <c r="C957" s="476" t="s">
        <v>5193</v>
      </c>
      <c r="D957" s="464"/>
      <c r="E957" s="465" t="s">
        <v>2927</v>
      </c>
      <c r="F957" s="466" t="s">
        <v>2928</v>
      </c>
      <c r="G957" s="464"/>
      <c r="H957" s="477">
        <v>45085</v>
      </c>
      <c r="I957" s="488">
        <f t="shared" si="34"/>
        <v>9150300</v>
      </c>
      <c r="J957" s="488">
        <f t="shared" si="35"/>
        <v>1006533</v>
      </c>
      <c r="K957" s="474">
        <f>2548584+6942888+665361</f>
        <v>10156833</v>
      </c>
      <c r="L957" s="475"/>
    </row>
    <row r="958" spans="1:12" x14ac:dyDescent="0.2">
      <c r="A958" s="305">
        <v>76</v>
      </c>
      <c r="B958" s="469" t="s">
        <v>1339</v>
      </c>
      <c r="C958" s="476" t="s">
        <v>5050</v>
      </c>
      <c r="D958" s="464"/>
      <c r="E958" s="465" t="s">
        <v>3516</v>
      </c>
      <c r="F958" s="466" t="s">
        <v>2858</v>
      </c>
      <c r="G958" s="464"/>
      <c r="H958" s="477">
        <v>45085</v>
      </c>
      <c r="I958" s="473">
        <f t="shared" si="34"/>
        <v>1064821.6216216215</v>
      </c>
      <c r="J958" s="473">
        <f t="shared" si="35"/>
        <v>117130.37837837837</v>
      </c>
      <c r="K958" s="474">
        <v>1181952</v>
      </c>
      <c r="L958" s="475"/>
    </row>
    <row r="959" spans="1:12" x14ac:dyDescent="0.2">
      <c r="A959" s="305">
        <v>77</v>
      </c>
      <c r="B959" s="485" t="s">
        <v>1340</v>
      </c>
      <c r="C959" s="476" t="s">
        <v>5051</v>
      </c>
      <c r="D959" s="464"/>
      <c r="E959" s="465" t="s">
        <v>3461</v>
      </c>
      <c r="F959" s="466" t="s">
        <v>2890</v>
      </c>
      <c r="G959" s="464"/>
      <c r="H959" s="477">
        <v>45086</v>
      </c>
      <c r="I959" s="488">
        <f t="shared" si="34"/>
        <v>2894983.7837837837</v>
      </c>
      <c r="J959" s="488">
        <f t="shared" si="35"/>
        <v>318448.21621621621</v>
      </c>
      <c r="K959" s="474">
        <v>3213432</v>
      </c>
      <c r="L959" s="475"/>
    </row>
    <row r="960" spans="1:12" x14ac:dyDescent="0.2">
      <c r="A960" s="305">
        <v>78</v>
      </c>
      <c r="B960" s="469" t="s">
        <v>1341</v>
      </c>
      <c r="C960" s="476" t="s">
        <v>5340</v>
      </c>
      <c r="D960" s="464"/>
      <c r="E960" s="465" t="s">
        <v>2993</v>
      </c>
      <c r="F960" s="466" t="s">
        <v>2994</v>
      </c>
      <c r="G960" s="464"/>
      <c r="H960" s="477">
        <v>45086</v>
      </c>
      <c r="I960" s="473">
        <f t="shared" si="34"/>
        <v>4381913.5135135129</v>
      </c>
      <c r="J960" s="473">
        <f t="shared" si="35"/>
        <v>482010.48648648645</v>
      </c>
      <c r="K960" s="474">
        <f>886464+3447360+530100</f>
        <v>4863924</v>
      </c>
      <c r="L960" s="475"/>
    </row>
    <row r="961" spans="1:12" x14ac:dyDescent="0.2">
      <c r="A961" s="305">
        <v>79</v>
      </c>
      <c r="B961" s="485" t="s">
        <v>1342</v>
      </c>
      <c r="C961" s="476" t="s">
        <v>5230</v>
      </c>
      <c r="D961" s="464"/>
      <c r="E961" s="465" t="s">
        <v>2907</v>
      </c>
      <c r="F961" s="466" t="s">
        <v>2926</v>
      </c>
      <c r="G961" s="464"/>
      <c r="H961" s="477">
        <v>45086</v>
      </c>
      <c r="I961" s="488">
        <f t="shared" si="34"/>
        <v>13192670.270270269</v>
      </c>
      <c r="J961" s="488">
        <f t="shared" si="35"/>
        <v>1451193.7297297297</v>
      </c>
      <c r="K961" s="474">
        <f>6648480+4395384+3600000</f>
        <v>14643864</v>
      </c>
      <c r="L961" s="475"/>
    </row>
    <row r="962" spans="1:12" x14ac:dyDescent="0.2">
      <c r="A962" s="305">
        <v>80</v>
      </c>
      <c r="B962" s="469" t="s">
        <v>1343</v>
      </c>
      <c r="C962" s="476" t="s">
        <v>5243</v>
      </c>
      <c r="D962" s="464"/>
      <c r="E962" s="465" t="s">
        <v>2906</v>
      </c>
      <c r="F962" s="466" t="s">
        <v>2892</v>
      </c>
      <c r="G962" s="464"/>
      <c r="H962" s="477">
        <v>45083</v>
      </c>
      <c r="I962" s="473">
        <f t="shared" si="34"/>
        <v>5300075.6756756753</v>
      </c>
      <c r="J962" s="473">
        <f t="shared" si="35"/>
        <v>583008.32432432426</v>
      </c>
      <c r="K962" s="474">
        <f>2523960+2671704+687420</f>
        <v>5883084</v>
      </c>
      <c r="L962" s="475"/>
    </row>
    <row r="963" spans="1:12" x14ac:dyDescent="0.2">
      <c r="A963" s="305">
        <v>81</v>
      </c>
      <c r="B963" s="485" t="s">
        <v>1344</v>
      </c>
      <c r="C963" s="476" t="s">
        <v>5229</v>
      </c>
      <c r="D963" s="464"/>
      <c r="E963" s="465" t="s">
        <v>3020</v>
      </c>
      <c r="F963" s="466" t="s">
        <v>3021</v>
      </c>
      <c r="G963" s="464"/>
      <c r="H963" s="477">
        <v>45086</v>
      </c>
      <c r="I963" s="488">
        <f t="shared" si="34"/>
        <v>13176859.459459458</v>
      </c>
      <c r="J963" s="488">
        <f t="shared" si="35"/>
        <v>1449454.5405405404</v>
      </c>
      <c r="K963" s="474">
        <f>2610144+7481250+4534920</f>
        <v>14626314</v>
      </c>
      <c r="L963" s="475"/>
    </row>
    <row r="964" spans="1:12" x14ac:dyDescent="0.2">
      <c r="A964" s="305">
        <v>82</v>
      </c>
      <c r="B964" s="469" t="s">
        <v>1345</v>
      </c>
      <c r="C964" s="476" t="s">
        <v>5285</v>
      </c>
      <c r="D964" s="464"/>
      <c r="E964" s="465" t="s">
        <v>2956</v>
      </c>
      <c r="F964" s="466" t="s">
        <v>2755</v>
      </c>
      <c r="G964" s="464"/>
      <c r="H964" s="477">
        <v>45086</v>
      </c>
      <c r="I964" s="473">
        <f t="shared" si="34"/>
        <v>3215813.5135135134</v>
      </c>
      <c r="J964" s="473">
        <f t="shared" si="35"/>
        <v>353739.48648648645</v>
      </c>
      <c r="K964" s="474">
        <f>1717524+563886+1288143</f>
        <v>3569553</v>
      </c>
      <c r="L964" s="475"/>
    </row>
    <row r="965" spans="1:12" x14ac:dyDescent="0.2">
      <c r="A965" s="305">
        <v>83</v>
      </c>
      <c r="B965" s="485" t="s">
        <v>1346</v>
      </c>
      <c r="C965" s="476" t="s">
        <v>5176</v>
      </c>
      <c r="D965" s="464"/>
      <c r="E965" s="465" t="s">
        <v>5177</v>
      </c>
      <c r="F965" s="466" t="s">
        <v>2886</v>
      </c>
      <c r="G965" s="464"/>
      <c r="H965" s="477">
        <v>45086</v>
      </c>
      <c r="I965" s="488">
        <f t="shared" si="34"/>
        <v>2411716.2162162159</v>
      </c>
      <c r="J965" s="488">
        <f t="shared" si="35"/>
        <v>265288.78378378373</v>
      </c>
      <c r="K965" s="474">
        <v>2677005</v>
      </c>
      <c r="L965" s="475"/>
    </row>
    <row r="966" spans="1:12" x14ac:dyDescent="0.2">
      <c r="A966" s="305">
        <v>84</v>
      </c>
      <c r="B966" s="469" t="s">
        <v>1347</v>
      </c>
      <c r="C966" s="476" t="s">
        <v>5255</v>
      </c>
      <c r="D966" s="464"/>
      <c r="E966" s="471" t="s">
        <v>2883</v>
      </c>
      <c r="F966" s="471" t="s">
        <v>2884</v>
      </c>
      <c r="G966" s="464"/>
      <c r="H966" s="472">
        <v>45084</v>
      </c>
      <c r="I966" s="473">
        <f t="shared" si="34"/>
        <v>9320400</v>
      </c>
      <c r="J966" s="473">
        <f t="shared" si="35"/>
        <v>1025244</v>
      </c>
      <c r="K966" s="474">
        <f>317520+10028124</f>
        <v>10345644</v>
      </c>
      <c r="L966" s="475"/>
    </row>
    <row r="967" spans="1:12" x14ac:dyDescent="0.2">
      <c r="A967" s="305">
        <v>85</v>
      </c>
      <c r="B967" s="485" t="s">
        <v>1348</v>
      </c>
      <c r="C967" s="476" t="s">
        <v>5227</v>
      </c>
      <c r="D967" s="464"/>
      <c r="E967" s="471" t="s">
        <v>2907</v>
      </c>
      <c r="F967" s="471" t="s">
        <v>2953</v>
      </c>
      <c r="G967" s="464"/>
      <c r="H967" s="472">
        <v>45085</v>
      </c>
      <c r="I967" s="488">
        <f t="shared" si="34"/>
        <v>10976351.351351351</v>
      </c>
      <c r="J967" s="488">
        <f t="shared" si="35"/>
        <v>1207398.6486486485</v>
      </c>
      <c r="K967" s="474">
        <f>3483270+7305120+1395360</f>
        <v>12183750</v>
      </c>
      <c r="L967" s="475"/>
    </row>
    <row r="968" spans="1:12" x14ac:dyDescent="0.2">
      <c r="A968" s="305">
        <v>86</v>
      </c>
      <c r="B968" s="469" t="s">
        <v>1349</v>
      </c>
      <c r="C968" s="476" t="s">
        <v>5286</v>
      </c>
      <c r="D968" s="464"/>
      <c r="E968" s="465" t="s">
        <v>3130</v>
      </c>
      <c r="F968" s="466" t="s">
        <v>2873</v>
      </c>
      <c r="G968" s="464"/>
      <c r="H968" s="477">
        <v>45086</v>
      </c>
      <c r="I968" s="473">
        <f t="shared" si="34"/>
        <v>5496340.5405405397</v>
      </c>
      <c r="J968" s="473">
        <f t="shared" si="35"/>
        <v>604597.45945945941</v>
      </c>
      <c r="K968" s="474">
        <f>2008908+4092030</f>
        <v>6100938</v>
      </c>
      <c r="L968" s="475"/>
    </row>
    <row r="969" spans="1:12" x14ac:dyDescent="0.2">
      <c r="A969" s="305">
        <v>87</v>
      </c>
      <c r="B969" s="485" t="s">
        <v>1350</v>
      </c>
      <c r="C969" s="476" t="s">
        <v>5180</v>
      </c>
      <c r="D969" s="464"/>
      <c r="E969" s="465" t="s">
        <v>5179</v>
      </c>
      <c r="F969" s="466" t="s">
        <v>2879</v>
      </c>
      <c r="G969" s="464"/>
      <c r="H969" s="477">
        <v>45086</v>
      </c>
      <c r="I969" s="488">
        <f t="shared" si="34"/>
        <v>959459.45945945941</v>
      </c>
      <c r="J969" s="488">
        <f t="shared" si="35"/>
        <v>105540.54054054053</v>
      </c>
      <c r="K969" s="474">
        <f>370000+695000</f>
        <v>1065000</v>
      </c>
      <c r="L969" s="475"/>
    </row>
    <row r="970" spans="1:12" x14ac:dyDescent="0.2">
      <c r="A970" s="305">
        <v>88</v>
      </c>
      <c r="B970" s="469" t="s">
        <v>1351</v>
      </c>
      <c r="C970" s="476" t="s">
        <v>5181</v>
      </c>
      <c r="D970" s="464"/>
      <c r="E970" s="465" t="s">
        <v>5182</v>
      </c>
      <c r="F970" s="466" t="s">
        <v>2940</v>
      </c>
      <c r="G970" s="464"/>
      <c r="H970" s="477">
        <v>45086</v>
      </c>
      <c r="I970" s="473">
        <f t="shared" si="34"/>
        <v>15674999.999999998</v>
      </c>
      <c r="J970" s="473">
        <f t="shared" si="35"/>
        <v>1724249.9999999998</v>
      </c>
      <c r="K970" s="474">
        <v>17399250</v>
      </c>
      <c r="L970" s="475"/>
    </row>
    <row r="971" spans="1:12" x14ac:dyDescent="0.2">
      <c r="A971" s="305">
        <v>89</v>
      </c>
      <c r="B971" s="485" t="s">
        <v>1352</v>
      </c>
      <c r="C971" s="476" t="s">
        <v>5274</v>
      </c>
      <c r="D971" s="464"/>
      <c r="E971" s="465" t="s">
        <v>2914</v>
      </c>
      <c r="F971" s="466" t="s">
        <v>2915</v>
      </c>
      <c r="G971" s="464"/>
      <c r="H971" s="477">
        <v>45086</v>
      </c>
      <c r="I971" s="488">
        <f t="shared" si="34"/>
        <v>4555994.5945945941</v>
      </c>
      <c r="J971" s="488">
        <f t="shared" si="35"/>
        <v>501159.40540540533</v>
      </c>
      <c r="K971" s="474">
        <f>2102274+2548584+406296</f>
        <v>5057154</v>
      </c>
      <c r="L971" s="475"/>
    </row>
    <row r="972" spans="1:12" x14ac:dyDescent="0.2">
      <c r="A972" s="305">
        <v>90</v>
      </c>
      <c r="B972" s="469" t="s">
        <v>1353</v>
      </c>
      <c r="C972" s="476" t="s">
        <v>5293</v>
      </c>
      <c r="D972" s="464"/>
      <c r="E972" s="465" t="s">
        <v>2921</v>
      </c>
      <c r="F972" s="466" t="s">
        <v>2922</v>
      </c>
      <c r="G972" s="464"/>
      <c r="H972" s="477">
        <v>45086</v>
      </c>
      <c r="I972" s="473">
        <f t="shared" si="34"/>
        <v>361581.08108108107</v>
      </c>
      <c r="J972" s="473">
        <f t="shared" si="35"/>
        <v>39773.91891891892</v>
      </c>
      <c r="K972" s="474">
        <f>200000+201355</f>
        <v>401355</v>
      </c>
      <c r="L972" s="475"/>
    </row>
    <row r="973" spans="1:12" x14ac:dyDescent="0.2">
      <c r="A973" s="305">
        <v>91</v>
      </c>
      <c r="B973" s="485" t="s">
        <v>1354</v>
      </c>
      <c r="C973" s="476" t="s">
        <v>5183</v>
      </c>
      <c r="D973" s="464"/>
      <c r="E973" s="465" t="s">
        <v>3156</v>
      </c>
      <c r="F973" s="466" t="s">
        <v>2912</v>
      </c>
      <c r="G973" s="464"/>
      <c r="H973" s="477">
        <v>45086</v>
      </c>
      <c r="I973" s="488">
        <f t="shared" si="34"/>
        <v>2285342.3423423423</v>
      </c>
      <c r="J973" s="488">
        <f t="shared" si="35"/>
        <v>251387.65765765766</v>
      </c>
      <c r="K973" s="474">
        <v>2536730</v>
      </c>
      <c r="L973" s="475"/>
    </row>
    <row r="974" spans="1:12" x14ac:dyDescent="0.2">
      <c r="A974" s="305">
        <v>92</v>
      </c>
      <c r="B974" s="469" t="s">
        <v>1355</v>
      </c>
      <c r="C974" s="476" t="s">
        <v>5184</v>
      </c>
      <c r="D974" s="464"/>
      <c r="E974" s="465" t="s">
        <v>2916</v>
      </c>
      <c r="F974" s="466" t="s">
        <v>2873</v>
      </c>
      <c r="G974" s="464"/>
      <c r="H974" s="477">
        <v>45086</v>
      </c>
      <c r="I974" s="473">
        <f t="shared" si="34"/>
        <v>323513.51351351349</v>
      </c>
      <c r="J974" s="473">
        <f t="shared" si="35"/>
        <v>35586.486486486487</v>
      </c>
      <c r="K974" s="474">
        <v>359100</v>
      </c>
      <c r="L974" s="475"/>
    </row>
    <row r="975" spans="1:12" x14ac:dyDescent="0.2">
      <c r="A975" s="305">
        <v>93</v>
      </c>
      <c r="B975" s="485" t="s">
        <v>1356</v>
      </c>
      <c r="C975" s="476" t="s">
        <v>5191</v>
      </c>
      <c r="D975" s="464"/>
      <c r="E975" s="465" t="s">
        <v>3141</v>
      </c>
      <c r="F975" s="466" t="s">
        <v>2873</v>
      </c>
      <c r="G975" s="464"/>
      <c r="H975" s="477">
        <v>45086</v>
      </c>
      <c r="I975" s="488">
        <f t="shared" si="34"/>
        <v>718536.93693693692</v>
      </c>
      <c r="J975" s="488">
        <f t="shared" si="35"/>
        <v>79039.063063063062</v>
      </c>
      <c r="K975" s="474">
        <f>668300+129276</f>
        <v>797576</v>
      </c>
      <c r="L975" s="475"/>
    </row>
    <row r="976" spans="1:12" x14ac:dyDescent="0.2">
      <c r="A976" s="305">
        <v>94</v>
      </c>
      <c r="B976" s="469" t="s">
        <v>1357</v>
      </c>
      <c r="C976" s="476" t="s">
        <v>5329</v>
      </c>
      <c r="D976" s="464"/>
      <c r="E976" s="465" t="s">
        <v>2929</v>
      </c>
      <c r="F976" s="466" t="s">
        <v>2886</v>
      </c>
      <c r="G976" s="464"/>
      <c r="H976" s="477">
        <v>45085</v>
      </c>
      <c r="I976" s="473">
        <f t="shared" si="34"/>
        <v>3736377.4774774769</v>
      </c>
      <c r="J976" s="473">
        <f t="shared" si="35"/>
        <v>411001.52252252249</v>
      </c>
      <c r="K976" s="474">
        <f>1133504+3013875</f>
        <v>4147379</v>
      </c>
      <c r="L976" s="475"/>
    </row>
    <row r="977" spans="1:12" x14ac:dyDescent="0.2">
      <c r="A977" s="305">
        <v>95</v>
      </c>
      <c r="B977" s="485" t="s">
        <v>1358</v>
      </c>
      <c r="C977" s="476" t="s">
        <v>5236</v>
      </c>
      <c r="D977" s="464"/>
      <c r="E977" s="465" t="s">
        <v>2936</v>
      </c>
      <c r="F977" s="466" t="s">
        <v>2922</v>
      </c>
      <c r="G977" s="464"/>
      <c r="H977" s="477">
        <v>45087</v>
      </c>
      <c r="I977" s="488">
        <f t="shared" si="34"/>
        <v>14604878.378378376</v>
      </c>
      <c r="J977" s="488">
        <f t="shared" si="35"/>
        <v>1606536.6216216213</v>
      </c>
      <c r="K977" s="474">
        <f>1534485+14676930</f>
        <v>16211415</v>
      </c>
      <c r="L977" s="475"/>
    </row>
    <row r="978" spans="1:12" x14ac:dyDescent="0.2">
      <c r="A978" s="305">
        <v>96</v>
      </c>
      <c r="B978" s="469" t="s">
        <v>1359</v>
      </c>
      <c r="C978" s="480" t="s">
        <v>5185</v>
      </c>
      <c r="D978" s="481"/>
      <c r="E978" s="482" t="s">
        <v>5186</v>
      </c>
      <c r="F978" s="483" t="s">
        <v>2940</v>
      </c>
      <c r="G978" s="513"/>
      <c r="H978" s="484">
        <v>45089</v>
      </c>
      <c r="I978" s="473">
        <f t="shared" si="34"/>
        <v>101801.80180180179</v>
      </c>
      <c r="J978" s="473">
        <f t="shared" si="35"/>
        <v>11198.198198198197</v>
      </c>
      <c r="K978" s="474">
        <v>113000</v>
      </c>
      <c r="L978" s="475"/>
    </row>
    <row r="979" spans="1:12" x14ac:dyDescent="0.2">
      <c r="A979" s="305">
        <v>97</v>
      </c>
      <c r="B979" s="485" t="s">
        <v>1360</v>
      </c>
      <c r="C979" s="476" t="s">
        <v>5222</v>
      </c>
      <c r="D979" s="464"/>
      <c r="E979" s="471" t="s">
        <v>5187</v>
      </c>
      <c r="F979" s="471" t="s">
        <v>2828</v>
      </c>
      <c r="G979" s="464"/>
      <c r="H979" s="477">
        <v>45089</v>
      </c>
      <c r="I979" s="488">
        <f t="shared" si="34"/>
        <v>29166072.97297297</v>
      </c>
      <c r="J979" s="488">
        <f t="shared" si="35"/>
        <v>3208268.0270270268</v>
      </c>
      <c r="K979" s="474">
        <f>23435829+8938512</f>
        <v>32374341</v>
      </c>
      <c r="L979" s="475"/>
    </row>
    <row r="980" spans="1:12" x14ac:dyDescent="0.2">
      <c r="A980" s="305">
        <v>98</v>
      </c>
      <c r="B980" s="469" t="s">
        <v>1361</v>
      </c>
      <c r="C980" s="476" t="s">
        <v>5275</v>
      </c>
      <c r="D980" s="464"/>
      <c r="E980" s="465" t="s">
        <v>3014</v>
      </c>
      <c r="F980" s="466" t="s">
        <v>3006</v>
      </c>
      <c r="G980" s="464"/>
      <c r="H980" s="477">
        <v>45089</v>
      </c>
      <c r="I980" s="473">
        <f t="shared" si="34"/>
        <v>22203633.333333332</v>
      </c>
      <c r="J980" s="473">
        <f t="shared" si="35"/>
        <v>2442399.6666666665</v>
      </c>
      <c r="K980" s="474">
        <f>3650508+10999720+9995805</f>
        <v>24646033</v>
      </c>
      <c r="L980" s="475"/>
    </row>
    <row r="981" spans="1:12" x14ac:dyDescent="0.2">
      <c r="A981" s="305">
        <v>99</v>
      </c>
      <c r="B981" s="485" t="s">
        <v>1362</v>
      </c>
      <c r="C981" s="476" t="s">
        <v>5188</v>
      </c>
      <c r="D981" s="464"/>
      <c r="E981" s="465" t="s">
        <v>2943</v>
      </c>
      <c r="F981" s="466" t="s">
        <v>2944</v>
      </c>
      <c r="G981" s="464"/>
      <c r="H981" s="477">
        <v>45090</v>
      </c>
      <c r="I981" s="488">
        <f t="shared" si="34"/>
        <v>1584445.9459459458</v>
      </c>
      <c r="J981" s="488">
        <f t="shared" si="35"/>
        <v>174289.05405405405</v>
      </c>
      <c r="K981" s="474">
        <v>1758735</v>
      </c>
      <c r="L981" s="475"/>
    </row>
    <row r="982" spans="1:12" x14ac:dyDescent="0.2">
      <c r="A982" s="305">
        <v>100</v>
      </c>
      <c r="B982" s="469" t="s">
        <v>1363</v>
      </c>
      <c r="C982" s="476" t="s">
        <v>5221</v>
      </c>
      <c r="D982" s="464"/>
      <c r="E982" s="465" t="s">
        <v>4610</v>
      </c>
      <c r="F982" s="466" t="s">
        <v>2828</v>
      </c>
      <c r="G982" s="464"/>
      <c r="H982" s="477">
        <v>45090</v>
      </c>
      <c r="I982" s="473">
        <f t="shared" si="34"/>
        <v>30584504.504504502</v>
      </c>
      <c r="J982" s="473">
        <f t="shared" si="35"/>
        <v>3364295.4954954954</v>
      </c>
      <c r="K982" s="474">
        <f>14575000+19373800</f>
        <v>33948800</v>
      </c>
      <c r="L982" s="475"/>
    </row>
    <row r="983" spans="1:12" x14ac:dyDescent="0.2">
      <c r="A983" s="305">
        <v>101</v>
      </c>
      <c r="B983" s="485" t="s">
        <v>1364</v>
      </c>
      <c r="C983" s="476" t="s">
        <v>5189</v>
      </c>
      <c r="D983" s="464"/>
      <c r="E983" s="465" t="s">
        <v>2968</v>
      </c>
      <c r="F983" s="466" t="s">
        <v>2969</v>
      </c>
      <c r="G983" s="464"/>
      <c r="H983" s="477">
        <v>45090</v>
      </c>
      <c r="I983" s="488">
        <f t="shared" si="34"/>
        <v>810810.81081081077</v>
      </c>
      <c r="J983" s="488">
        <f t="shared" si="35"/>
        <v>89189.189189189186</v>
      </c>
      <c r="K983" s="474">
        <v>900000</v>
      </c>
      <c r="L983" s="475"/>
    </row>
    <row r="984" spans="1:12" x14ac:dyDescent="0.2">
      <c r="A984" s="305">
        <v>102</v>
      </c>
      <c r="B984" s="469" t="s">
        <v>1365</v>
      </c>
      <c r="C984" s="476" t="s">
        <v>5209</v>
      </c>
      <c r="D984" s="464"/>
      <c r="E984" s="465" t="s">
        <v>3471</v>
      </c>
      <c r="F984" s="466" t="s">
        <v>3472</v>
      </c>
      <c r="G984" s="464"/>
      <c r="H984" s="477">
        <v>45089</v>
      </c>
      <c r="I984" s="473">
        <f t="shared" si="34"/>
        <v>1669520.7207207205</v>
      </c>
      <c r="J984" s="473">
        <f t="shared" si="35"/>
        <v>183647.27927927926</v>
      </c>
      <c r="K984" s="474">
        <f>1373000+480168</f>
        <v>1853168</v>
      </c>
      <c r="L984" s="475"/>
    </row>
    <row r="985" spans="1:12" x14ac:dyDescent="0.2">
      <c r="A985" s="305">
        <v>103</v>
      </c>
      <c r="B985" s="485" t="s">
        <v>1366</v>
      </c>
      <c r="C985" s="476" t="s">
        <v>5192</v>
      </c>
      <c r="D985" s="464"/>
      <c r="E985" s="465" t="s">
        <v>3917</v>
      </c>
      <c r="F985" s="466" t="s">
        <v>2873</v>
      </c>
      <c r="G985" s="464"/>
      <c r="H985" s="477">
        <v>45089</v>
      </c>
      <c r="I985" s="488">
        <f t="shared" si="34"/>
        <v>45405.4054054054</v>
      </c>
      <c r="J985" s="488">
        <f t="shared" si="35"/>
        <v>4994.5945945945941</v>
      </c>
      <c r="K985" s="474">
        <v>50400</v>
      </c>
      <c r="L985" s="475"/>
    </row>
    <row r="986" spans="1:12" x14ac:dyDescent="0.2">
      <c r="A986" s="305">
        <v>104</v>
      </c>
      <c r="B986" s="469" t="s">
        <v>1367</v>
      </c>
      <c r="C986" s="476" t="s">
        <v>5194</v>
      </c>
      <c r="D986" s="464"/>
      <c r="E986" s="465" t="s">
        <v>5195</v>
      </c>
      <c r="F986" s="466" t="s">
        <v>2785</v>
      </c>
      <c r="G986" s="464"/>
      <c r="H986" s="477">
        <v>45090</v>
      </c>
      <c r="I986" s="473">
        <f t="shared" si="34"/>
        <v>60810.810810810806</v>
      </c>
      <c r="J986" s="473">
        <f t="shared" si="35"/>
        <v>6689.1891891891892</v>
      </c>
      <c r="K986" s="474">
        <v>67500</v>
      </c>
      <c r="L986" s="475"/>
    </row>
    <row r="987" spans="1:12" x14ac:dyDescent="0.2">
      <c r="A987" s="305">
        <v>105</v>
      </c>
      <c r="B987" s="485" t="s">
        <v>1368</v>
      </c>
      <c r="C987" s="476" t="s">
        <v>5198</v>
      </c>
      <c r="D987" s="464"/>
      <c r="E987" s="465" t="s">
        <v>2995</v>
      </c>
      <c r="F987" s="466" t="s">
        <v>2755</v>
      </c>
      <c r="G987" s="464"/>
      <c r="H987" s="477">
        <v>45091</v>
      </c>
      <c r="I987" s="488">
        <f t="shared" si="34"/>
        <v>3265945.9459459456</v>
      </c>
      <c r="J987" s="488">
        <f t="shared" si="35"/>
        <v>359254.05405405402</v>
      </c>
      <c r="K987" s="474">
        <v>3625200</v>
      </c>
      <c r="L987" s="475"/>
    </row>
    <row r="988" spans="1:12" x14ac:dyDescent="0.2">
      <c r="A988" s="305">
        <v>106</v>
      </c>
      <c r="B988" s="469" t="s">
        <v>1369</v>
      </c>
      <c r="C988" s="476" t="s">
        <v>5196</v>
      </c>
      <c r="D988" s="464"/>
      <c r="E988" s="465" t="s">
        <v>5197</v>
      </c>
      <c r="F988" s="466" t="s">
        <v>3568</v>
      </c>
      <c r="G988" s="464"/>
      <c r="H988" s="477">
        <v>45091</v>
      </c>
      <c r="I988" s="473">
        <f t="shared" si="34"/>
        <v>425743.2432432432</v>
      </c>
      <c r="J988" s="473">
        <f t="shared" si="35"/>
        <v>46831.756756756753</v>
      </c>
      <c r="K988" s="474">
        <v>472575</v>
      </c>
      <c r="L988" s="475"/>
    </row>
    <row r="989" spans="1:12" x14ac:dyDescent="0.2">
      <c r="A989" s="305">
        <v>107</v>
      </c>
      <c r="B989" s="485" t="s">
        <v>1370</v>
      </c>
      <c r="C989" s="480" t="s">
        <v>5199</v>
      </c>
      <c r="D989" s="481"/>
      <c r="E989" s="482" t="s">
        <v>2995</v>
      </c>
      <c r="F989" s="483" t="s">
        <v>2858</v>
      </c>
      <c r="G989" s="513"/>
      <c r="H989" s="484">
        <v>45091</v>
      </c>
      <c r="I989" s="488">
        <f t="shared" si="34"/>
        <v>558445.94594594592</v>
      </c>
      <c r="J989" s="488">
        <f t="shared" si="35"/>
        <v>61429.054054054053</v>
      </c>
      <c r="K989" s="474">
        <v>619875</v>
      </c>
      <c r="L989" s="475"/>
    </row>
    <row r="990" spans="1:12" x14ac:dyDescent="0.2">
      <c r="A990" s="305">
        <v>108</v>
      </c>
      <c r="B990" s="469" t="s">
        <v>1371</v>
      </c>
      <c r="C990" s="476" t="s">
        <v>5257</v>
      </c>
      <c r="D990" s="464"/>
      <c r="E990" s="471" t="s">
        <v>5200</v>
      </c>
      <c r="F990" s="471" t="s">
        <v>2953</v>
      </c>
      <c r="G990" s="464"/>
      <c r="H990" s="477">
        <v>45090</v>
      </c>
      <c r="I990" s="473">
        <f t="shared" si="34"/>
        <v>6506472.9729729723</v>
      </c>
      <c r="J990" s="473">
        <f t="shared" si="35"/>
        <v>715712.02702702698</v>
      </c>
      <c r="K990" s="474">
        <f>3537135+3685050</f>
        <v>7222185</v>
      </c>
      <c r="L990" s="475"/>
    </row>
    <row r="991" spans="1:12" x14ac:dyDescent="0.2">
      <c r="A991" s="305">
        <v>109</v>
      </c>
      <c r="B991" s="485" t="s">
        <v>1372</v>
      </c>
      <c r="C991" s="476" t="s">
        <v>5202</v>
      </c>
      <c r="D991" s="464"/>
      <c r="E991" s="465" t="s">
        <v>5201</v>
      </c>
      <c r="F991" s="466" t="s">
        <v>3047</v>
      </c>
      <c r="G991" s="464"/>
      <c r="H991" s="477">
        <v>45091</v>
      </c>
      <c r="I991" s="488">
        <f t="shared" si="34"/>
        <v>3261373.8738738736</v>
      </c>
      <c r="J991" s="488">
        <f t="shared" si="35"/>
        <v>358751.1261261261</v>
      </c>
      <c r="K991" s="474">
        <v>3620125</v>
      </c>
      <c r="L991" s="475"/>
    </row>
    <row r="992" spans="1:12" x14ac:dyDescent="0.2">
      <c r="A992" s="305">
        <v>110</v>
      </c>
      <c r="B992" s="469" t="s">
        <v>1373</v>
      </c>
      <c r="C992" s="476" t="s">
        <v>5203</v>
      </c>
      <c r="D992" s="464"/>
      <c r="E992" s="465" t="s">
        <v>4584</v>
      </c>
      <c r="F992" s="466" t="s">
        <v>2808</v>
      </c>
      <c r="G992" s="464"/>
      <c r="H992" s="477">
        <v>45091</v>
      </c>
      <c r="I992" s="473">
        <f t="shared" si="34"/>
        <v>688403.60360360355</v>
      </c>
      <c r="J992" s="473">
        <f t="shared" si="35"/>
        <v>75724.396396396391</v>
      </c>
      <c r="K992" s="474">
        <v>764128</v>
      </c>
      <c r="L992" s="475"/>
    </row>
    <row r="993" spans="1:12" x14ac:dyDescent="0.2">
      <c r="A993" s="305">
        <v>111</v>
      </c>
      <c r="B993" s="485" t="s">
        <v>1374</v>
      </c>
      <c r="C993" s="476" t="s">
        <v>5204</v>
      </c>
      <c r="D993" s="464"/>
      <c r="E993" s="465" t="s">
        <v>2911</v>
      </c>
      <c r="F993" s="466" t="s">
        <v>2912</v>
      </c>
      <c r="G993" s="464"/>
      <c r="H993" s="477">
        <v>45092</v>
      </c>
      <c r="I993" s="488">
        <f t="shared" si="34"/>
        <v>9409621.6216216199</v>
      </c>
      <c r="J993" s="488">
        <f t="shared" si="35"/>
        <v>1035058.3783783782</v>
      </c>
      <c r="K993" s="474">
        <v>10444680</v>
      </c>
      <c r="L993" s="475"/>
    </row>
    <row r="994" spans="1:12" x14ac:dyDescent="0.2">
      <c r="A994" s="305">
        <v>112</v>
      </c>
      <c r="B994" s="469" t="s">
        <v>1375</v>
      </c>
      <c r="C994" s="476" t="s">
        <v>5205</v>
      </c>
      <c r="D994" s="464"/>
      <c r="E994" s="465" t="s">
        <v>2974</v>
      </c>
      <c r="F994" s="466" t="s">
        <v>2755</v>
      </c>
      <c r="G994" s="464"/>
      <c r="H994" s="477">
        <v>45093</v>
      </c>
      <c r="I994" s="473">
        <f t="shared" si="34"/>
        <v>3823085.5855855853</v>
      </c>
      <c r="J994" s="473">
        <f t="shared" si="35"/>
        <v>420539.41441441438</v>
      </c>
      <c r="K994" s="474">
        <v>4243625</v>
      </c>
      <c r="L994" s="475"/>
    </row>
    <row r="995" spans="1:12" x14ac:dyDescent="0.2">
      <c r="A995" s="305">
        <v>113</v>
      </c>
      <c r="B995" s="485" t="s">
        <v>1376</v>
      </c>
      <c r="C995" s="476" t="s">
        <v>5206</v>
      </c>
      <c r="D995" s="464"/>
      <c r="E995" s="465" t="s">
        <v>3915</v>
      </c>
      <c r="F995" s="466" t="s">
        <v>2912</v>
      </c>
      <c r="G995" s="464"/>
      <c r="H995" s="477">
        <v>45092</v>
      </c>
      <c r="I995" s="488">
        <f t="shared" si="34"/>
        <v>99099.099099099083</v>
      </c>
      <c r="J995" s="488">
        <f t="shared" si="35"/>
        <v>10900.900900900899</v>
      </c>
      <c r="K995" s="474">
        <v>110000</v>
      </c>
      <c r="L995" s="475"/>
    </row>
    <row r="996" spans="1:12" x14ac:dyDescent="0.2">
      <c r="A996" s="305">
        <v>114</v>
      </c>
      <c r="B996" s="469" t="s">
        <v>1377</v>
      </c>
      <c r="C996" s="476" t="s">
        <v>5207</v>
      </c>
      <c r="D996" s="464"/>
      <c r="E996" s="465" t="s">
        <v>3104</v>
      </c>
      <c r="F996" s="466" t="s">
        <v>3061</v>
      </c>
      <c r="G996" s="464"/>
      <c r="H996" s="477">
        <v>45093</v>
      </c>
      <c r="I996" s="473">
        <f t="shared" si="34"/>
        <v>337837.83783783781</v>
      </c>
      <c r="J996" s="473">
        <f t="shared" si="35"/>
        <v>37162.16216216216</v>
      </c>
      <c r="K996" s="474">
        <v>375000</v>
      </c>
      <c r="L996" s="475"/>
    </row>
    <row r="997" spans="1:12" x14ac:dyDescent="0.2">
      <c r="A997" s="305">
        <v>115</v>
      </c>
      <c r="B997" s="485" t="s">
        <v>1378</v>
      </c>
      <c r="C997" s="476" t="s">
        <v>5208</v>
      </c>
      <c r="D997" s="464"/>
      <c r="E997" s="465" t="s">
        <v>2991</v>
      </c>
      <c r="F997" s="466" t="s">
        <v>2886</v>
      </c>
      <c r="G997" s="464"/>
      <c r="H997" s="477">
        <v>45094</v>
      </c>
      <c r="I997" s="488">
        <f t="shared" si="34"/>
        <v>5878702.702702702</v>
      </c>
      <c r="J997" s="488">
        <f t="shared" si="35"/>
        <v>646657.29729729728</v>
      </c>
      <c r="K997" s="474">
        <v>6525360</v>
      </c>
      <c r="L997" s="475"/>
    </row>
    <row r="998" spans="1:12" x14ac:dyDescent="0.2">
      <c r="A998" s="305">
        <v>116</v>
      </c>
      <c r="B998" s="469" t="s">
        <v>1379</v>
      </c>
      <c r="C998" s="476" t="s">
        <v>5341</v>
      </c>
      <c r="D998" s="464"/>
      <c r="E998" s="465" t="s">
        <v>2918</v>
      </c>
      <c r="F998" s="466" t="s">
        <v>2919</v>
      </c>
      <c r="G998" s="464"/>
      <c r="H998" s="477">
        <v>45096</v>
      </c>
      <c r="I998" s="473">
        <f t="shared" si="34"/>
        <v>3899943.2432432431</v>
      </c>
      <c r="J998" s="473">
        <f t="shared" si="35"/>
        <v>428993.75675675675</v>
      </c>
      <c r="K998" s="474">
        <f>440112+3088260+800565</f>
        <v>4328937</v>
      </c>
      <c r="L998" s="475"/>
    </row>
    <row r="999" spans="1:12" x14ac:dyDescent="0.2">
      <c r="A999" s="305">
        <v>117</v>
      </c>
      <c r="B999" s="485" t="s">
        <v>1380</v>
      </c>
      <c r="C999" s="476" t="s">
        <v>5216</v>
      </c>
      <c r="D999" s="464"/>
      <c r="E999" s="465" t="s">
        <v>2894</v>
      </c>
      <c r="F999" s="466" t="s">
        <v>2851</v>
      </c>
      <c r="G999" s="464"/>
      <c r="H999" s="477">
        <v>45091</v>
      </c>
      <c r="I999" s="488">
        <f t="shared" si="34"/>
        <v>35549513.513513513</v>
      </c>
      <c r="J999" s="488">
        <f t="shared" si="35"/>
        <v>3910446.4864864866</v>
      </c>
      <c r="K999" s="474">
        <f>16929000+19206720+3324240</f>
        <v>39459960</v>
      </c>
      <c r="L999" s="475"/>
    </row>
    <row r="1000" spans="1:12" x14ac:dyDescent="0.2">
      <c r="A1000" s="305">
        <v>118</v>
      </c>
      <c r="B1000" s="469" t="s">
        <v>1381</v>
      </c>
      <c r="C1000" s="480" t="s">
        <v>5244</v>
      </c>
      <c r="D1000" s="481"/>
      <c r="E1000" s="482" t="s">
        <v>2885</v>
      </c>
      <c r="F1000" s="483" t="s">
        <v>2886</v>
      </c>
      <c r="G1000" s="513"/>
      <c r="H1000" s="484">
        <v>45084</v>
      </c>
      <c r="I1000" s="473">
        <f t="shared" si="34"/>
        <v>8036537.8378378367</v>
      </c>
      <c r="J1000" s="473">
        <f t="shared" si="35"/>
        <v>884019.16216216201</v>
      </c>
      <c r="K1000" s="474">
        <f>1214784+897750+6808023</f>
        <v>8920557</v>
      </c>
      <c r="L1000" s="475"/>
    </row>
    <row r="1001" spans="1:12" x14ac:dyDescent="0.2">
      <c r="A1001" s="305">
        <v>119</v>
      </c>
      <c r="B1001" s="485" t="s">
        <v>1382</v>
      </c>
      <c r="C1001" s="476" t="s">
        <v>5233</v>
      </c>
      <c r="D1001" s="464"/>
      <c r="E1001" s="471" t="s">
        <v>2939</v>
      </c>
      <c r="F1001" s="471" t="s">
        <v>2940</v>
      </c>
      <c r="G1001" s="464"/>
      <c r="H1001" s="477">
        <v>45096</v>
      </c>
      <c r="I1001" s="488">
        <f t="shared" si="34"/>
        <v>4842535.1351351347</v>
      </c>
      <c r="J1001" s="488">
        <f t="shared" si="35"/>
        <v>532678.86486486485</v>
      </c>
      <c r="K1001" s="474">
        <f>4359474+1015740</f>
        <v>5375214</v>
      </c>
      <c r="L1001" s="475"/>
    </row>
    <row r="1002" spans="1:12" x14ac:dyDescent="0.2">
      <c r="A1002" s="305">
        <v>120</v>
      </c>
      <c r="B1002" s="469" t="s">
        <v>1383</v>
      </c>
      <c r="C1002" s="476" t="s">
        <v>5210</v>
      </c>
      <c r="D1002" s="464"/>
      <c r="E1002" s="465" t="s">
        <v>3024</v>
      </c>
      <c r="F1002" s="466" t="s">
        <v>3025</v>
      </c>
      <c r="G1002" s="464"/>
      <c r="H1002" s="477">
        <v>45097</v>
      </c>
      <c r="I1002" s="473">
        <f t="shared" si="34"/>
        <v>7376108.108108107</v>
      </c>
      <c r="J1002" s="473">
        <f t="shared" si="35"/>
        <v>811371.89189189172</v>
      </c>
      <c r="K1002" s="474">
        <f>5232600+2954880</f>
        <v>8187480</v>
      </c>
      <c r="L1002" s="475"/>
    </row>
    <row r="1003" spans="1:12" x14ac:dyDescent="0.2">
      <c r="A1003" s="305">
        <v>121</v>
      </c>
      <c r="B1003" s="485" t="s">
        <v>1384</v>
      </c>
      <c r="C1003" s="476" t="s">
        <v>5226</v>
      </c>
      <c r="D1003" s="464"/>
      <c r="E1003" s="465" t="s">
        <v>2883</v>
      </c>
      <c r="F1003" s="466" t="s">
        <v>2884</v>
      </c>
      <c r="G1003" s="464"/>
      <c r="H1003" s="477">
        <v>45091</v>
      </c>
      <c r="I1003" s="488">
        <f t="shared" si="34"/>
        <v>14292518.918918917</v>
      </c>
      <c r="J1003" s="488">
        <f t="shared" si="35"/>
        <v>1572177.0810810809</v>
      </c>
      <c r="K1003" s="474">
        <f>6685416+5171040+4008240</f>
        <v>15864696</v>
      </c>
      <c r="L1003" s="475"/>
    </row>
    <row r="1004" spans="1:12" x14ac:dyDescent="0.2">
      <c r="A1004" s="305">
        <v>122</v>
      </c>
      <c r="B1004" s="469" t="s">
        <v>1385</v>
      </c>
      <c r="C1004" s="476" t="s">
        <v>5211</v>
      </c>
      <c r="D1004" s="464"/>
      <c r="E1004" s="465" t="s">
        <v>5212</v>
      </c>
      <c r="F1004" s="466" t="s">
        <v>3025</v>
      </c>
      <c r="G1004" s="464"/>
      <c r="H1004" s="477">
        <v>45097</v>
      </c>
      <c r="I1004" s="473">
        <f t="shared" si="34"/>
        <v>233563.06306306305</v>
      </c>
      <c r="J1004" s="473">
        <f t="shared" si="35"/>
        <v>25691.936936936934</v>
      </c>
      <c r="K1004" s="474">
        <v>259255</v>
      </c>
      <c r="L1004" s="475"/>
    </row>
    <row r="1005" spans="1:12" x14ac:dyDescent="0.2">
      <c r="A1005" s="305">
        <v>123</v>
      </c>
      <c r="B1005" s="485" t="s">
        <v>1386</v>
      </c>
      <c r="C1005" s="476" t="s">
        <v>5213</v>
      </c>
      <c r="D1005" s="464"/>
      <c r="E1005" s="465" t="s">
        <v>3553</v>
      </c>
      <c r="F1005" s="466" t="s">
        <v>2908</v>
      </c>
      <c r="G1005" s="464"/>
      <c r="H1005" s="477">
        <v>45097</v>
      </c>
      <c r="I1005" s="488">
        <f t="shared" si="34"/>
        <v>1441945.9459459458</v>
      </c>
      <c r="J1005" s="488">
        <f t="shared" si="35"/>
        <v>158614.05405405405</v>
      </c>
      <c r="K1005" s="474">
        <v>1600560</v>
      </c>
      <c r="L1005" s="475"/>
    </row>
    <row r="1006" spans="1:12" x14ac:dyDescent="0.2">
      <c r="A1006" s="305">
        <v>124</v>
      </c>
      <c r="B1006" s="469" t="s">
        <v>1387</v>
      </c>
      <c r="C1006" s="476" t="s">
        <v>5214</v>
      </c>
      <c r="D1006" s="464"/>
      <c r="E1006" s="465" t="s">
        <v>3533</v>
      </c>
      <c r="F1006" s="466" t="s">
        <v>2922</v>
      </c>
      <c r="G1006" s="464"/>
      <c r="H1006" s="477">
        <v>45098</v>
      </c>
      <c r="I1006" s="473">
        <f t="shared" si="34"/>
        <v>1971583.7837837837</v>
      </c>
      <c r="J1006" s="473">
        <f t="shared" si="35"/>
        <v>216874.21621621621</v>
      </c>
      <c r="K1006" s="474">
        <v>2188458</v>
      </c>
      <c r="L1006" s="475"/>
    </row>
    <row r="1007" spans="1:12" x14ac:dyDescent="0.2">
      <c r="A1007" s="305">
        <v>125</v>
      </c>
      <c r="B1007" s="485" t="s">
        <v>1388</v>
      </c>
      <c r="C1007" s="476" t="s">
        <v>5231</v>
      </c>
      <c r="D1007" s="464"/>
      <c r="E1007" s="465" t="s">
        <v>3921</v>
      </c>
      <c r="F1007" s="466" t="s">
        <v>2873</v>
      </c>
      <c r="G1007" s="464"/>
      <c r="H1007" s="477">
        <v>45092</v>
      </c>
      <c r="I1007" s="488">
        <f t="shared" si="34"/>
        <v>523783.78378378373</v>
      </c>
      <c r="J1007" s="488">
        <f t="shared" si="35"/>
        <v>57616.216216216213</v>
      </c>
      <c r="K1007" s="474">
        <f>235125+346275</f>
        <v>581400</v>
      </c>
      <c r="L1007" s="475"/>
    </row>
    <row r="1008" spans="1:12" x14ac:dyDescent="0.2">
      <c r="A1008" s="305">
        <v>126</v>
      </c>
      <c r="B1008" s="469" t="s">
        <v>1389</v>
      </c>
      <c r="C1008" s="476" t="s">
        <v>5217</v>
      </c>
      <c r="D1008" s="464"/>
      <c r="E1008" s="465" t="s">
        <v>3003</v>
      </c>
      <c r="F1008" s="466" t="s">
        <v>2953</v>
      </c>
      <c r="G1008" s="464"/>
      <c r="H1008" s="477">
        <v>45092</v>
      </c>
      <c r="I1008" s="473">
        <f t="shared" si="34"/>
        <v>454767.56756756752</v>
      </c>
      <c r="J1008" s="473">
        <f t="shared" si="35"/>
        <v>50024.432432432426</v>
      </c>
      <c r="K1008" s="474">
        <v>504792</v>
      </c>
      <c r="L1008" s="475"/>
    </row>
    <row r="1009" spans="1:12" x14ac:dyDescent="0.2">
      <c r="A1009" s="305">
        <v>127</v>
      </c>
      <c r="B1009" s="485" t="s">
        <v>1390</v>
      </c>
      <c r="C1009" s="476" t="s">
        <v>5218</v>
      </c>
      <c r="D1009" s="464"/>
      <c r="E1009" s="465" t="s">
        <v>3003</v>
      </c>
      <c r="F1009" s="466" t="s">
        <v>2873</v>
      </c>
      <c r="G1009" s="464"/>
      <c r="H1009" s="477">
        <v>45092</v>
      </c>
      <c r="I1009" s="488">
        <f t="shared" si="34"/>
        <v>2099457.6576576573</v>
      </c>
      <c r="J1009" s="488">
        <f t="shared" si="35"/>
        <v>230940.34234234231</v>
      </c>
      <c r="K1009" s="474">
        <f>1727015+603383</f>
        <v>2330398</v>
      </c>
      <c r="L1009" s="475"/>
    </row>
    <row r="1010" spans="1:12" x14ac:dyDescent="0.2">
      <c r="A1010" s="305">
        <v>128</v>
      </c>
      <c r="B1010" s="469" t="s">
        <v>1391</v>
      </c>
      <c r="C1010" s="476" t="s">
        <v>5253</v>
      </c>
      <c r="D1010" s="464"/>
      <c r="E1010" s="465" t="s">
        <v>5219</v>
      </c>
      <c r="F1010" s="466" t="s">
        <v>5220</v>
      </c>
      <c r="G1010" s="464"/>
      <c r="H1010" s="477">
        <v>45094</v>
      </c>
      <c r="I1010" s="473">
        <f t="shared" si="34"/>
        <v>336540.54054054053</v>
      </c>
      <c r="J1010" s="473">
        <f t="shared" si="35"/>
        <v>37019.45945945946</v>
      </c>
      <c r="K1010" s="474">
        <f>61560+312000</f>
        <v>373560</v>
      </c>
      <c r="L1010" s="475"/>
    </row>
    <row r="1011" spans="1:12" x14ac:dyDescent="0.2">
      <c r="A1011" s="305">
        <v>129</v>
      </c>
      <c r="B1011" s="485" t="s">
        <v>1392</v>
      </c>
      <c r="C1011" s="480" t="s">
        <v>5235</v>
      </c>
      <c r="D1011" s="481"/>
      <c r="E1011" s="482" t="s">
        <v>2894</v>
      </c>
      <c r="F1011" s="483" t="s">
        <v>2851</v>
      </c>
      <c r="G1011" s="513"/>
      <c r="H1011" s="484">
        <v>45096</v>
      </c>
      <c r="I1011" s="488">
        <f t="shared" si="34"/>
        <v>12269481.081081079</v>
      </c>
      <c r="J1011" s="488">
        <f t="shared" si="35"/>
        <v>1349642.9189189188</v>
      </c>
      <c r="K1011" s="474">
        <f>2359800+1231200+10028124</f>
        <v>13619124</v>
      </c>
      <c r="L1011" s="475"/>
    </row>
    <row r="1012" spans="1:12" x14ac:dyDescent="0.2">
      <c r="A1012" s="305">
        <v>130</v>
      </c>
      <c r="B1012" s="469" t="s">
        <v>1393</v>
      </c>
      <c r="C1012" s="476" t="s">
        <v>5242</v>
      </c>
      <c r="D1012" s="464"/>
      <c r="E1012" s="471" t="s">
        <v>2945</v>
      </c>
      <c r="F1012" s="471" t="s">
        <v>2946</v>
      </c>
      <c r="G1012" s="464"/>
      <c r="H1012" s="477">
        <v>45084</v>
      </c>
      <c r="I1012" s="473">
        <f t="shared" si="34"/>
        <v>8437232.4324324317</v>
      </c>
      <c r="J1012" s="473">
        <f t="shared" si="35"/>
        <v>928095.56756756746</v>
      </c>
      <c r="K1012" s="474">
        <f>4145040+2610144+2610144</f>
        <v>9365328</v>
      </c>
      <c r="L1012" s="475"/>
    </row>
    <row r="1013" spans="1:12" x14ac:dyDescent="0.2">
      <c r="A1013" s="305">
        <v>131</v>
      </c>
      <c r="B1013" s="485" t="s">
        <v>1394</v>
      </c>
      <c r="C1013" s="476" t="s">
        <v>5232</v>
      </c>
      <c r="D1013" s="464"/>
      <c r="E1013" s="465" t="s">
        <v>3030</v>
      </c>
      <c r="F1013" s="466" t="s">
        <v>2892</v>
      </c>
      <c r="G1013" s="464"/>
      <c r="H1013" s="477">
        <v>45100</v>
      </c>
      <c r="I1013" s="488">
        <f t="shared" ref="I1013:I1065" si="36">K1013/1.11</f>
        <v>8857568.4684684668</v>
      </c>
      <c r="J1013" s="488">
        <f t="shared" ref="J1013:J1065" si="37">I1013*11%</f>
        <v>974332.53153153136</v>
      </c>
      <c r="K1013" s="474">
        <f>2560554+2343640+4927707</f>
        <v>9831901</v>
      </c>
      <c r="L1013" s="475"/>
    </row>
    <row r="1014" spans="1:12" x14ac:dyDescent="0.2">
      <c r="A1014" s="305">
        <v>132</v>
      </c>
      <c r="B1014" s="469" t="s">
        <v>1395</v>
      </c>
      <c r="C1014" s="476" t="s">
        <v>5228</v>
      </c>
      <c r="D1014" s="464"/>
      <c r="E1014" s="465" t="s">
        <v>4582</v>
      </c>
      <c r="F1014" s="466" t="s">
        <v>2792</v>
      </c>
      <c r="G1014" s="464"/>
      <c r="H1014" s="477">
        <v>45100</v>
      </c>
      <c r="I1014" s="473">
        <f t="shared" si="36"/>
        <v>8651675.6756756753</v>
      </c>
      <c r="J1014" s="473">
        <f t="shared" si="37"/>
        <v>951684.32432432426</v>
      </c>
      <c r="K1014" s="474">
        <v>9603360</v>
      </c>
      <c r="L1014" s="475"/>
    </row>
    <row r="1015" spans="1:12" x14ac:dyDescent="0.2">
      <c r="A1015" s="305">
        <v>133</v>
      </c>
      <c r="B1015" s="485" t="s">
        <v>1396</v>
      </c>
      <c r="C1015" s="476" t="s">
        <v>5326</v>
      </c>
      <c r="D1015" s="464"/>
      <c r="E1015" s="465" t="s">
        <v>2893</v>
      </c>
      <c r="F1015" s="466" t="s">
        <v>2890</v>
      </c>
      <c r="G1015" s="464"/>
      <c r="H1015" s="477">
        <v>45082</v>
      </c>
      <c r="I1015" s="488">
        <f t="shared" si="36"/>
        <v>16630443.243243242</v>
      </c>
      <c r="J1015" s="488">
        <f t="shared" si="37"/>
        <v>1829348.7567567567</v>
      </c>
      <c r="K1015" s="474">
        <f>3213432+2440854+12805506</f>
        <v>18459792</v>
      </c>
      <c r="L1015" s="475"/>
    </row>
    <row r="1016" spans="1:12" x14ac:dyDescent="0.2">
      <c r="A1016" s="305">
        <v>134</v>
      </c>
      <c r="B1016" s="469" t="s">
        <v>1397</v>
      </c>
      <c r="C1016" s="476" t="s">
        <v>5254</v>
      </c>
      <c r="D1016" s="464"/>
      <c r="E1016" s="465" t="s">
        <v>2907</v>
      </c>
      <c r="F1016" s="466" t="s">
        <v>2858</v>
      </c>
      <c r="G1016" s="464"/>
      <c r="H1016" s="477">
        <v>45094</v>
      </c>
      <c r="I1016" s="473">
        <f t="shared" si="36"/>
        <v>24957064.864864863</v>
      </c>
      <c r="J1016" s="473">
        <f t="shared" si="37"/>
        <v>2745277.1351351351</v>
      </c>
      <c r="K1016" s="474">
        <f>10982304+14967288+1752750</f>
        <v>27702342</v>
      </c>
      <c r="L1016" s="475"/>
    </row>
    <row r="1017" spans="1:12" x14ac:dyDescent="0.2">
      <c r="A1017" s="305">
        <v>135</v>
      </c>
      <c r="B1017" s="485" t="s">
        <v>1398</v>
      </c>
      <c r="C1017" s="476" t="s">
        <v>5348</v>
      </c>
      <c r="D1017" s="464"/>
      <c r="E1017" s="465" t="s">
        <v>2933</v>
      </c>
      <c r="F1017" s="466" t="s">
        <v>2823</v>
      </c>
      <c r="G1017" s="464"/>
      <c r="H1017" s="477">
        <v>45092</v>
      </c>
      <c r="I1017" s="488">
        <f t="shared" si="36"/>
        <v>41504935.135135129</v>
      </c>
      <c r="J1017" s="488">
        <f t="shared" si="37"/>
        <v>4565542.8648648644</v>
      </c>
      <c r="K1017" s="474">
        <f>27638388+17406090+1026000</f>
        <v>46070478</v>
      </c>
      <c r="L1017" s="475"/>
    </row>
    <row r="1018" spans="1:12" x14ac:dyDescent="0.2">
      <c r="A1018" s="305">
        <v>136</v>
      </c>
      <c r="B1018" s="469" t="s">
        <v>1399</v>
      </c>
      <c r="C1018" s="476" t="s">
        <v>5261</v>
      </c>
      <c r="D1018" s="464"/>
      <c r="E1018" s="465" t="s">
        <v>2907</v>
      </c>
      <c r="F1018" s="466" t="s">
        <v>2926</v>
      </c>
      <c r="G1018" s="464"/>
      <c r="H1018" s="477">
        <v>45098</v>
      </c>
      <c r="I1018" s="473">
        <f t="shared" si="36"/>
        <v>10565935.135135135</v>
      </c>
      <c r="J1018" s="473">
        <f t="shared" si="37"/>
        <v>1162252.8648648649</v>
      </c>
      <c r="K1018" s="474">
        <f>7051680+3342708+1333800</f>
        <v>11728188</v>
      </c>
      <c r="L1018" s="475"/>
    </row>
    <row r="1019" spans="1:12" x14ac:dyDescent="0.2">
      <c r="A1019" s="305">
        <v>137</v>
      </c>
      <c r="B1019" s="485" t="s">
        <v>1400</v>
      </c>
      <c r="C1019" s="476" t="s">
        <v>5237</v>
      </c>
      <c r="D1019" s="464"/>
      <c r="E1019" s="465" t="s">
        <v>2981</v>
      </c>
      <c r="F1019" s="466" t="s">
        <v>2982</v>
      </c>
      <c r="G1019" s="464"/>
      <c r="H1019" s="477">
        <v>45082</v>
      </c>
      <c r="I1019" s="488">
        <f t="shared" si="36"/>
        <v>1885621.6216216215</v>
      </c>
      <c r="J1019" s="488">
        <f t="shared" si="37"/>
        <v>207418.37837837837</v>
      </c>
      <c r="K1019" s="474">
        <v>2093040</v>
      </c>
      <c r="L1019" s="475"/>
    </row>
    <row r="1020" spans="1:12" x14ac:dyDescent="0.2">
      <c r="A1020" s="305">
        <v>138</v>
      </c>
      <c r="B1020" s="469" t="s">
        <v>1401</v>
      </c>
      <c r="C1020" s="476" t="s">
        <v>5238</v>
      </c>
      <c r="D1020" s="464"/>
      <c r="E1020" s="465" t="s">
        <v>3085</v>
      </c>
      <c r="F1020" s="466" t="s">
        <v>2982</v>
      </c>
      <c r="G1020" s="464"/>
      <c r="H1020" s="477">
        <v>45082</v>
      </c>
      <c r="I1020" s="473">
        <f t="shared" si="36"/>
        <v>2612140.5405405401</v>
      </c>
      <c r="J1020" s="473">
        <f t="shared" si="37"/>
        <v>287335.45945945941</v>
      </c>
      <c r="K1020" s="474">
        <v>2899476</v>
      </c>
      <c r="L1020" s="475"/>
    </row>
    <row r="1021" spans="1:12" x14ac:dyDescent="0.2">
      <c r="A1021" s="305">
        <v>139</v>
      </c>
      <c r="B1021" s="485" t="s">
        <v>1402</v>
      </c>
      <c r="C1021" s="476" t="s">
        <v>5239</v>
      </c>
      <c r="D1021" s="464"/>
      <c r="E1021" s="465" t="s">
        <v>2878</v>
      </c>
      <c r="F1021" s="466" t="s">
        <v>2879</v>
      </c>
      <c r="G1021" s="464"/>
      <c r="H1021" s="477">
        <v>45083</v>
      </c>
      <c r="I1021" s="488">
        <f t="shared" si="36"/>
        <v>2612140.5405405401</v>
      </c>
      <c r="J1021" s="488">
        <f t="shared" si="37"/>
        <v>287335.45945945941</v>
      </c>
      <c r="K1021" s="474">
        <v>2899476</v>
      </c>
      <c r="L1021" s="475"/>
    </row>
    <row r="1022" spans="1:12" x14ac:dyDescent="0.2">
      <c r="A1022" s="305">
        <v>140</v>
      </c>
      <c r="B1022" s="469" t="s">
        <v>1403</v>
      </c>
      <c r="C1022" s="480" t="s">
        <v>5240</v>
      </c>
      <c r="D1022" s="481"/>
      <c r="E1022" s="482" t="s">
        <v>3046</v>
      </c>
      <c r="F1022" s="483" t="s">
        <v>3047</v>
      </c>
      <c r="G1022" s="513"/>
      <c r="H1022" s="484">
        <v>45083</v>
      </c>
      <c r="I1022" s="473">
        <f t="shared" si="36"/>
        <v>1830162.1621621619</v>
      </c>
      <c r="J1022" s="473">
        <f t="shared" si="37"/>
        <v>201317.83783783781</v>
      </c>
      <c r="K1022" s="474">
        <v>2031480</v>
      </c>
      <c r="L1022" s="475"/>
    </row>
    <row r="1023" spans="1:12" x14ac:dyDescent="0.2">
      <c r="A1023" s="305">
        <v>141</v>
      </c>
      <c r="B1023" s="485" t="s">
        <v>1404</v>
      </c>
      <c r="C1023" s="476" t="s">
        <v>5352</v>
      </c>
      <c r="D1023" s="464"/>
      <c r="E1023" s="465" t="s">
        <v>3020</v>
      </c>
      <c r="F1023" s="466" t="s">
        <v>3021</v>
      </c>
      <c r="G1023" s="464"/>
      <c r="H1023" s="477">
        <v>45083</v>
      </c>
      <c r="I1023" s="488">
        <f t="shared" si="36"/>
        <v>9943418.9189189188</v>
      </c>
      <c r="J1023" s="488">
        <f t="shared" si="37"/>
        <v>1093776.0810810812</v>
      </c>
      <c r="K1023" s="474">
        <f>3447360+3960360+3629475</f>
        <v>11037195</v>
      </c>
      <c r="L1023" s="475"/>
    </row>
    <row r="1024" spans="1:12" x14ac:dyDescent="0.2">
      <c r="A1024" s="305">
        <v>142</v>
      </c>
      <c r="B1024" s="469" t="s">
        <v>1405</v>
      </c>
      <c r="C1024" s="476" t="s">
        <v>5259</v>
      </c>
      <c r="D1024" s="464"/>
      <c r="E1024" s="465" t="s">
        <v>2996</v>
      </c>
      <c r="F1024" s="466" t="s">
        <v>2785</v>
      </c>
      <c r="G1024" s="464"/>
      <c r="H1024" s="477">
        <v>45084</v>
      </c>
      <c r="I1024" s="473">
        <f t="shared" si="36"/>
        <v>22389772.97297297</v>
      </c>
      <c r="J1024" s="473">
        <f t="shared" si="37"/>
        <v>2462875.0270270268</v>
      </c>
      <c r="K1024" s="474">
        <f>15582888+5909760+3360000</f>
        <v>24852648</v>
      </c>
      <c r="L1024" s="475"/>
    </row>
    <row r="1025" spans="1:12" x14ac:dyDescent="0.2">
      <c r="A1025" s="305">
        <v>143</v>
      </c>
      <c r="B1025" s="485" t="s">
        <v>1406</v>
      </c>
      <c r="C1025" s="476" t="s">
        <v>5262</v>
      </c>
      <c r="D1025" s="464"/>
      <c r="E1025" s="465" t="s">
        <v>2954</v>
      </c>
      <c r="F1025" s="466" t="s">
        <v>2955</v>
      </c>
      <c r="G1025" s="464"/>
      <c r="H1025" s="477">
        <v>45084</v>
      </c>
      <c r="I1025" s="488">
        <f t="shared" si="36"/>
        <v>4974713.5135135129</v>
      </c>
      <c r="J1025" s="488">
        <f t="shared" si="37"/>
        <v>547218.48648648639</v>
      </c>
      <c r="K1025" s="474">
        <f>2032506+885438+2603988</f>
        <v>5521932</v>
      </c>
      <c r="L1025" s="475"/>
    </row>
    <row r="1026" spans="1:12" x14ac:dyDescent="0.2">
      <c r="A1026" s="305">
        <v>144</v>
      </c>
      <c r="B1026" s="469" t="s">
        <v>1407</v>
      </c>
      <c r="C1026" s="476" t="s">
        <v>5291</v>
      </c>
      <c r="D1026" s="464"/>
      <c r="E1026" s="465" t="s">
        <v>3129</v>
      </c>
      <c r="F1026" s="466" t="s">
        <v>3108</v>
      </c>
      <c r="G1026" s="464"/>
      <c r="H1026" s="477">
        <v>45084</v>
      </c>
      <c r="I1026" s="473">
        <f t="shared" si="36"/>
        <v>2136354.9549549548</v>
      </c>
      <c r="J1026" s="473">
        <f t="shared" si="37"/>
        <v>234999.04504504503</v>
      </c>
      <c r="K1026" s="474">
        <f>700000+1671354</f>
        <v>2371354</v>
      </c>
      <c r="L1026" s="475"/>
    </row>
    <row r="1027" spans="1:12" x14ac:dyDescent="0.2">
      <c r="A1027" s="305">
        <v>145</v>
      </c>
      <c r="B1027" s="485" t="s">
        <v>1408</v>
      </c>
      <c r="C1027" s="480" t="s">
        <v>5281</v>
      </c>
      <c r="D1027" s="481"/>
      <c r="E1027" s="482" t="s">
        <v>2885</v>
      </c>
      <c r="F1027" s="483" t="s">
        <v>2886</v>
      </c>
      <c r="G1027" s="513"/>
      <c r="H1027" s="484">
        <v>45084</v>
      </c>
      <c r="I1027" s="488">
        <f t="shared" si="36"/>
        <v>10899036.936936935</v>
      </c>
      <c r="J1027" s="488">
        <f t="shared" si="37"/>
        <v>1198894.063063063</v>
      </c>
      <c r="K1027" s="474">
        <f>2878295+9219636</f>
        <v>12097931</v>
      </c>
      <c r="L1027" s="475"/>
    </row>
    <row r="1028" spans="1:12" x14ac:dyDescent="0.2">
      <c r="A1028" s="305">
        <v>146</v>
      </c>
      <c r="B1028" s="469" t="s">
        <v>1409</v>
      </c>
      <c r="C1028" s="476" t="s">
        <v>5272</v>
      </c>
      <c r="D1028" s="464"/>
      <c r="E1028" s="465" t="s">
        <v>2916</v>
      </c>
      <c r="F1028" s="466" t="s">
        <v>2917</v>
      </c>
      <c r="G1028" s="464"/>
      <c r="H1028" s="477">
        <v>45085</v>
      </c>
      <c r="I1028" s="473">
        <f t="shared" si="36"/>
        <v>2144599.0990990987</v>
      </c>
      <c r="J1028" s="473">
        <f t="shared" si="37"/>
        <v>235905.90090090086</v>
      </c>
      <c r="K1028" s="474">
        <f>2165505+215000</f>
        <v>2380505</v>
      </c>
      <c r="L1028" s="475"/>
    </row>
    <row r="1029" spans="1:12" x14ac:dyDescent="0.2">
      <c r="A1029" s="305">
        <v>147</v>
      </c>
      <c r="B1029" s="485" t="s">
        <v>1410</v>
      </c>
      <c r="C1029" s="476" t="s">
        <v>5371</v>
      </c>
      <c r="D1029" s="464"/>
      <c r="E1029" s="465" t="s">
        <v>2907</v>
      </c>
      <c r="F1029" s="466" t="s">
        <v>2953</v>
      </c>
      <c r="G1029" s="464"/>
      <c r="H1029" s="477">
        <v>45090</v>
      </c>
      <c r="I1029" s="488">
        <f t="shared" si="36"/>
        <v>6106702.702702702</v>
      </c>
      <c r="J1029" s="488">
        <f t="shared" si="37"/>
        <v>671737.29729729728</v>
      </c>
      <c r="K1029" s="474">
        <f>795150+2933505+3049785</f>
        <v>6778440</v>
      </c>
      <c r="L1029" s="475"/>
    </row>
    <row r="1030" spans="1:12" x14ac:dyDescent="0.2">
      <c r="A1030" s="305">
        <v>148</v>
      </c>
      <c r="B1030" s="469" t="s">
        <v>1411</v>
      </c>
      <c r="C1030" s="476" t="s">
        <v>5246</v>
      </c>
      <c r="D1030" s="464"/>
      <c r="E1030" s="465" t="s">
        <v>2927</v>
      </c>
      <c r="F1030" s="466" t="s">
        <v>2928</v>
      </c>
      <c r="G1030" s="464"/>
      <c r="H1030" s="477">
        <v>45092</v>
      </c>
      <c r="I1030" s="473">
        <f t="shared" si="36"/>
        <v>2573318.9189189188</v>
      </c>
      <c r="J1030" s="473">
        <f t="shared" si="37"/>
        <v>283065.08108108107</v>
      </c>
      <c r="K1030" s="474">
        <v>2856384</v>
      </c>
      <c r="L1030" s="475"/>
    </row>
    <row r="1031" spans="1:12" x14ac:dyDescent="0.2">
      <c r="A1031" s="305">
        <v>149</v>
      </c>
      <c r="B1031" s="485" t="s">
        <v>1412</v>
      </c>
      <c r="C1031" s="476" t="s">
        <v>5247</v>
      </c>
      <c r="D1031" s="464"/>
      <c r="E1031" s="465" t="s">
        <v>5248</v>
      </c>
      <c r="F1031" s="466" t="s">
        <v>2912</v>
      </c>
      <c r="G1031" s="464"/>
      <c r="H1031" s="477">
        <v>45093</v>
      </c>
      <c r="I1031" s="488">
        <f t="shared" si="36"/>
        <v>1441945.9459459458</v>
      </c>
      <c r="J1031" s="488">
        <f t="shared" si="37"/>
        <v>158614.05405405405</v>
      </c>
      <c r="K1031" s="474">
        <v>1600560</v>
      </c>
      <c r="L1031" s="475"/>
    </row>
    <row r="1032" spans="1:12" x14ac:dyDescent="0.2">
      <c r="A1032" s="305">
        <v>150</v>
      </c>
      <c r="B1032" s="469" t="s">
        <v>1413</v>
      </c>
      <c r="C1032" s="476" t="s">
        <v>5249</v>
      </c>
      <c r="D1032" s="464"/>
      <c r="E1032" s="465" t="s">
        <v>5250</v>
      </c>
      <c r="F1032" s="466" t="s">
        <v>5251</v>
      </c>
      <c r="G1032" s="464"/>
      <c r="H1032" s="477">
        <v>45093</v>
      </c>
      <c r="I1032" s="473">
        <f t="shared" si="36"/>
        <v>432583.78378378373</v>
      </c>
      <c r="J1032" s="473">
        <f t="shared" si="37"/>
        <v>47584.216216216213</v>
      </c>
      <c r="K1032" s="474">
        <v>480168</v>
      </c>
      <c r="L1032" s="475"/>
    </row>
    <row r="1033" spans="1:12" x14ac:dyDescent="0.2">
      <c r="A1033" s="305">
        <v>151</v>
      </c>
      <c r="B1033" s="485" t="s">
        <v>1414</v>
      </c>
      <c r="C1033" s="476" t="s">
        <v>5252</v>
      </c>
      <c r="D1033" s="464"/>
      <c r="E1033" s="465" t="s">
        <v>3517</v>
      </c>
      <c r="F1033" s="466" t="s">
        <v>2912</v>
      </c>
      <c r="G1033" s="464"/>
      <c r="H1033" s="477">
        <v>45093</v>
      </c>
      <c r="I1033" s="488">
        <f t="shared" si="36"/>
        <v>4714054.0540540535</v>
      </c>
      <c r="J1033" s="488">
        <f t="shared" si="37"/>
        <v>518545.94594594586</v>
      </c>
      <c r="K1033" s="474">
        <v>5232600</v>
      </c>
      <c r="L1033" s="475"/>
    </row>
    <row r="1034" spans="1:12" x14ac:dyDescent="0.2">
      <c r="A1034" s="305">
        <v>152</v>
      </c>
      <c r="B1034" s="469" t="s">
        <v>1415</v>
      </c>
      <c r="C1034" s="476" t="s">
        <v>5260</v>
      </c>
      <c r="D1034" s="464"/>
      <c r="E1034" s="465" t="s">
        <v>2907</v>
      </c>
      <c r="F1034" s="466" t="s">
        <v>2908</v>
      </c>
      <c r="G1034" s="464"/>
      <c r="H1034" s="477">
        <v>45093</v>
      </c>
      <c r="I1034" s="473">
        <f t="shared" si="36"/>
        <v>9496118.9189189188</v>
      </c>
      <c r="J1034" s="473">
        <f t="shared" si="37"/>
        <v>1044573.0810810811</v>
      </c>
      <c r="K1034" s="474">
        <f>669123+4942413+4929156</f>
        <v>10540692</v>
      </c>
      <c r="L1034" s="475"/>
    </row>
    <row r="1035" spans="1:12" x14ac:dyDescent="0.2">
      <c r="A1035" s="305">
        <v>153</v>
      </c>
      <c r="B1035" s="485" t="s">
        <v>1416</v>
      </c>
      <c r="C1035" s="480" t="s">
        <v>5351</v>
      </c>
      <c r="D1035" s="481"/>
      <c r="E1035" s="482" t="s">
        <v>2906</v>
      </c>
      <c r="F1035" s="483" t="s">
        <v>2892</v>
      </c>
      <c r="G1035" s="513"/>
      <c r="H1035" s="484">
        <v>45094</v>
      </c>
      <c r="I1035" s="488">
        <f t="shared" si="36"/>
        <v>5502040.5405405397</v>
      </c>
      <c r="J1035" s="488">
        <f t="shared" si="37"/>
        <v>605224.45945945941</v>
      </c>
      <c r="K1035" s="474">
        <f>790020+3868020+1449225</f>
        <v>6107265</v>
      </c>
      <c r="L1035" s="475"/>
    </row>
    <row r="1036" spans="1:12" x14ac:dyDescent="0.2">
      <c r="A1036" s="305">
        <v>154</v>
      </c>
      <c r="B1036" s="469" t="s">
        <v>1417</v>
      </c>
      <c r="C1036" s="476" t="s">
        <v>5336</v>
      </c>
      <c r="D1036" s="464"/>
      <c r="E1036" s="465" t="s">
        <v>2894</v>
      </c>
      <c r="F1036" s="466" t="s">
        <v>2851</v>
      </c>
      <c r="G1036" s="464"/>
      <c r="H1036" s="477">
        <v>45098</v>
      </c>
      <c r="I1036" s="473">
        <f t="shared" si="36"/>
        <v>68202194.594594583</v>
      </c>
      <c r="J1036" s="473">
        <f t="shared" si="37"/>
        <v>7502241.405405404</v>
      </c>
      <c r="K1036" s="474">
        <f>1580040+72277596+1846800</f>
        <v>75704436</v>
      </c>
      <c r="L1036" s="475"/>
    </row>
    <row r="1037" spans="1:12" x14ac:dyDescent="0.2">
      <c r="A1037" s="305">
        <v>155</v>
      </c>
      <c r="B1037" s="485" t="s">
        <v>1418</v>
      </c>
      <c r="C1037" s="476" t="s">
        <v>5357</v>
      </c>
      <c r="D1037" s="464"/>
      <c r="E1037" s="465" t="s">
        <v>2945</v>
      </c>
      <c r="F1037" s="466" t="s">
        <v>2946</v>
      </c>
      <c r="G1037" s="464"/>
      <c r="H1037" s="477">
        <v>45098</v>
      </c>
      <c r="I1037" s="488">
        <f t="shared" si="36"/>
        <v>3723332.4324324322</v>
      </c>
      <c r="J1037" s="488">
        <f t="shared" si="37"/>
        <v>409566.56756756752</v>
      </c>
      <c r="K1037" s="474">
        <f>1375011+393984+2363904</f>
        <v>4132899</v>
      </c>
      <c r="L1037" s="475"/>
    </row>
    <row r="1038" spans="1:12" x14ac:dyDescent="0.2">
      <c r="A1038" s="305">
        <v>156</v>
      </c>
      <c r="B1038" s="469" t="s">
        <v>1419</v>
      </c>
      <c r="C1038" s="476" t="s">
        <v>5350</v>
      </c>
      <c r="D1038" s="464"/>
      <c r="E1038" s="465" t="s">
        <v>2948</v>
      </c>
      <c r="F1038" s="466" t="s">
        <v>2892</v>
      </c>
      <c r="G1038" s="464"/>
      <c r="H1038" s="477">
        <v>45098</v>
      </c>
      <c r="I1038" s="473">
        <f t="shared" si="36"/>
        <v>16131308.108108107</v>
      </c>
      <c r="J1038" s="473">
        <f t="shared" si="37"/>
        <v>1774443.8918918918</v>
      </c>
      <c r="K1038" s="474">
        <f>13048668+4857084</f>
        <v>17905752</v>
      </c>
      <c r="L1038" s="475"/>
    </row>
    <row r="1039" spans="1:12" x14ac:dyDescent="0.2">
      <c r="A1039" s="305">
        <v>157</v>
      </c>
      <c r="B1039" s="485" t="s">
        <v>1420</v>
      </c>
      <c r="C1039" s="476" t="s">
        <v>5263</v>
      </c>
      <c r="D1039" s="464"/>
      <c r="E1039" s="465" t="s">
        <v>2970</v>
      </c>
      <c r="F1039" s="466" t="s">
        <v>2946</v>
      </c>
      <c r="G1039" s="464"/>
      <c r="H1039" s="477">
        <v>45098</v>
      </c>
      <c r="I1039" s="488">
        <f t="shared" si="36"/>
        <v>6689797.297297297</v>
      </c>
      <c r="J1039" s="488">
        <f t="shared" si="37"/>
        <v>735877.70270270272</v>
      </c>
      <c r="K1039" s="474">
        <f>5073570+2352105</f>
        <v>7425675</v>
      </c>
      <c r="L1039" s="475"/>
    </row>
    <row r="1040" spans="1:12" x14ac:dyDescent="0.2">
      <c r="A1040" s="305">
        <v>158</v>
      </c>
      <c r="B1040" s="469" t="s">
        <v>1421</v>
      </c>
      <c r="C1040" s="480" t="s">
        <v>5359</v>
      </c>
      <c r="D1040" s="481"/>
      <c r="E1040" s="482" t="s">
        <v>2954</v>
      </c>
      <c r="F1040" s="483" t="s">
        <v>2955</v>
      </c>
      <c r="G1040" s="513"/>
      <c r="H1040" s="484">
        <v>45099</v>
      </c>
      <c r="I1040" s="473">
        <f t="shared" si="36"/>
        <v>7228483.7837837832</v>
      </c>
      <c r="J1040" s="473">
        <f t="shared" si="37"/>
        <v>795133.21621621621</v>
      </c>
      <c r="K1040" s="474">
        <f>1350000+5208489+1465128</f>
        <v>8023617</v>
      </c>
      <c r="L1040" s="475"/>
    </row>
    <row r="1041" spans="1:12" x14ac:dyDescent="0.2">
      <c r="A1041" s="305">
        <v>159</v>
      </c>
      <c r="B1041" s="485" t="s">
        <v>1422</v>
      </c>
      <c r="C1041" s="476" t="s">
        <v>5264</v>
      </c>
      <c r="D1041" s="464"/>
      <c r="E1041" s="465" t="s">
        <v>3017</v>
      </c>
      <c r="F1041" s="466" t="s">
        <v>3018</v>
      </c>
      <c r="G1041" s="464"/>
      <c r="H1041" s="477">
        <v>45099</v>
      </c>
      <c r="I1041" s="488">
        <f t="shared" si="36"/>
        <v>277297.29729729728</v>
      </c>
      <c r="J1041" s="488">
        <f t="shared" si="37"/>
        <v>30502.7027027027</v>
      </c>
      <c r="K1041" s="474">
        <v>307800</v>
      </c>
      <c r="L1041" s="475"/>
    </row>
    <row r="1042" spans="1:12" x14ac:dyDescent="0.2">
      <c r="A1042" s="305">
        <v>160</v>
      </c>
      <c r="B1042" s="469" t="s">
        <v>1423</v>
      </c>
      <c r="C1042" s="476" t="s">
        <v>5265</v>
      </c>
      <c r="D1042" s="464"/>
      <c r="E1042" s="465" t="s">
        <v>2887</v>
      </c>
      <c r="F1042" s="466" t="s">
        <v>2888</v>
      </c>
      <c r="G1042" s="464"/>
      <c r="H1042" s="477">
        <v>45099</v>
      </c>
      <c r="I1042" s="473">
        <f t="shared" si="36"/>
        <v>4325837.8378378376</v>
      </c>
      <c r="J1042" s="473">
        <f t="shared" si="37"/>
        <v>475842.16216216213</v>
      </c>
      <c r="K1042" s="474">
        <v>4801680</v>
      </c>
      <c r="L1042" s="475"/>
    </row>
    <row r="1043" spans="1:12" x14ac:dyDescent="0.2">
      <c r="A1043" s="305">
        <v>161</v>
      </c>
      <c r="B1043" s="485" t="s">
        <v>1424</v>
      </c>
      <c r="C1043" s="476" t="s">
        <v>5267</v>
      </c>
      <c r="D1043" s="464"/>
      <c r="E1043" s="465" t="s">
        <v>3491</v>
      </c>
      <c r="F1043" s="466" t="s">
        <v>3492</v>
      </c>
      <c r="G1043" s="464"/>
      <c r="H1043" s="477">
        <v>45100</v>
      </c>
      <c r="I1043" s="488">
        <f t="shared" si="36"/>
        <v>2254889.1891891891</v>
      </c>
      <c r="J1043" s="488">
        <f t="shared" si="37"/>
        <v>248037.8108108108</v>
      </c>
      <c r="K1043" s="474">
        <v>2502927</v>
      </c>
      <c r="L1043" s="475"/>
    </row>
    <row r="1044" spans="1:12" x14ac:dyDescent="0.2">
      <c r="A1044" s="305">
        <v>162</v>
      </c>
      <c r="B1044" s="469" t="s">
        <v>1425</v>
      </c>
      <c r="C1044" s="476" t="s">
        <v>5268</v>
      </c>
      <c r="D1044" s="464"/>
      <c r="E1044" s="465" t="s">
        <v>3051</v>
      </c>
      <c r="F1044" s="466" t="s">
        <v>3052</v>
      </c>
      <c r="G1044" s="464"/>
      <c r="H1044" s="477">
        <v>45100</v>
      </c>
      <c r="I1044" s="473">
        <f t="shared" si="36"/>
        <v>1406119.8198198196</v>
      </c>
      <c r="J1044" s="473">
        <f t="shared" si="37"/>
        <v>154673.18018018015</v>
      </c>
      <c r="K1044" s="474">
        <v>1560793</v>
      </c>
      <c r="L1044" s="475"/>
    </row>
    <row r="1045" spans="1:12" x14ac:dyDescent="0.2">
      <c r="A1045" s="305">
        <v>163</v>
      </c>
      <c r="B1045" s="485" t="s">
        <v>1426</v>
      </c>
      <c r="C1045" s="476" t="s">
        <v>5269</v>
      </c>
      <c r="D1045" s="464"/>
      <c r="E1045" s="465" t="s">
        <v>4000</v>
      </c>
      <c r="F1045" s="466" t="s">
        <v>4001</v>
      </c>
      <c r="G1045" s="464"/>
      <c r="H1045" s="477">
        <v>45100</v>
      </c>
      <c r="I1045" s="488">
        <f t="shared" si="36"/>
        <v>1200000</v>
      </c>
      <c r="J1045" s="488">
        <f t="shared" si="37"/>
        <v>132000</v>
      </c>
      <c r="K1045" s="474">
        <v>1332000</v>
      </c>
      <c r="L1045" s="475"/>
    </row>
    <row r="1046" spans="1:12" x14ac:dyDescent="0.2">
      <c r="A1046" s="305">
        <v>164</v>
      </c>
      <c r="B1046" s="469" t="s">
        <v>1427</v>
      </c>
      <c r="C1046" s="476" t="s">
        <v>5270</v>
      </c>
      <c r="D1046" s="464"/>
      <c r="E1046" s="465" t="s">
        <v>3573</v>
      </c>
      <c r="F1046" s="466" t="s">
        <v>2851</v>
      </c>
      <c r="G1046" s="464"/>
      <c r="H1046" s="477">
        <v>45100</v>
      </c>
      <c r="I1046" s="473">
        <f t="shared" si="36"/>
        <v>260659.45945945944</v>
      </c>
      <c r="J1046" s="473">
        <f t="shared" si="37"/>
        <v>28672.54054054054</v>
      </c>
      <c r="K1046" s="474">
        <v>289332</v>
      </c>
      <c r="L1046" s="475"/>
    </row>
    <row r="1047" spans="1:12" x14ac:dyDescent="0.2">
      <c r="A1047" s="305">
        <v>165</v>
      </c>
      <c r="B1047" s="485" t="s">
        <v>1428</v>
      </c>
      <c r="C1047" s="476" t="s">
        <v>5271</v>
      </c>
      <c r="D1047" s="464"/>
      <c r="E1047" s="465" t="s">
        <v>2910</v>
      </c>
      <c r="F1047" s="466" t="s">
        <v>2851</v>
      </c>
      <c r="G1047" s="464"/>
      <c r="H1047" s="477">
        <v>45101</v>
      </c>
      <c r="I1047" s="488">
        <f t="shared" si="36"/>
        <v>756756.75675675669</v>
      </c>
      <c r="J1047" s="488">
        <f t="shared" si="37"/>
        <v>83243.24324324324</v>
      </c>
      <c r="K1047" s="474">
        <v>840000</v>
      </c>
      <c r="L1047" s="475"/>
    </row>
    <row r="1048" spans="1:12" x14ac:dyDescent="0.2">
      <c r="A1048" s="305">
        <v>166</v>
      </c>
      <c r="B1048" s="469" t="s">
        <v>1429</v>
      </c>
      <c r="C1048" s="480" t="s">
        <v>5273</v>
      </c>
      <c r="D1048" s="481"/>
      <c r="E1048" s="482" t="s">
        <v>2907</v>
      </c>
      <c r="F1048" s="483" t="s">
        <v>2908</v>
      </c>
      <c r="G1048" s="513"/>
      <c r="H1048" s="484">
        <v>45103</v>
      </c>
      <c r="I1048" s="473">
        <f t="shared" si="36"/>
        <v>540729.7297297297</v>
      </c>
      <c r="J1048" s="473">
        <f t="shared" si="37"/>
        <v>59480.270270270266</v>
      </c>
      <c r="K1048" s="474">
        <v>600210</v>
      </c>
      <c r="L1048" s="475"/>
    </row>
    <row r="1049" spans="1:12" x14ac:dyDescent="0.2">
      <c r="A1049" s="305">
        <v>167</v>
      </c>
      <c r="B1049" s="485" t="s">
        <v>1430</v>
      </c>
      <c r="C1049" s="476" t="s">
        <v>5276</v>
      </c>
      <c r="D1049" s="464"/>
      <c r="E1049" s="465" t="s">
        <v>4298</v>
      </c>
      <c r="F1049" s="466" t="s">
        <v>3025</v>
      </c>
      <c r="G1049" s="464"/>
      <c r="H1049" s="477">
        <v>45104</v>
      </c>
      <c r="I1049" s="488">
        <f t="shared" si="36"/>
        <v>170270.27027027027</v>
      </c>
      <c r="J1049" s="488">
        <f t="shared" si="37"/>
        <v>18729.72972972973</v>
      </c>
      <c r="K1049" s="474">
        <v>189000</v>
      </c>
      <c r="L1049" s="475"/>
    </row>
    <row r="1050" spans="1:12" x14ac:dyDescent="0.2">
      <c r="A1050" s="305">
        <v>168</v>
      </c>
      <c r="B1050" s="469" t="s">
        <v>1431</v>
      </c>
      <c r="C1050" s="476" t="s">
        <v>5277</v>
      </c>
      <c r="D1050" s="464"/>
      <c r="E1050" s="465" t="s">
        <v>4344</v>
      </c>
      <c r="F1050" s="466" t="s">
        <v>3025</v>
      </c>
      <c r="G1050" s="464"/>
      <c r="H1050" s="477">
        <v>45104</v>
      </c>
      <c r="I1050" s="473">
        <f t="shared" si="36"/>
        <v>151351.35135135133</v>
      </c>
      <c r="J1050" s="473">
        <f t="shared" si="37"/>
        <v>16648.648648648646</v>
      </c>
      <c r="K1050" s="474">
        <v>168000</v>
      </c>
      <c r="L1050" s="475"/>
    </row>
    <row r="1051" spans="1:12" x14ac:dyDescent="0.2">
      <c r="A1051" s="305">
        <v>169</v>
      </c>
      <c r="B1051" s="485" t="s">
        <v>1432</v>
      </c>
      <c r="C1051" s="476" t="s">
        <v>5279</v>
      </c>
      <c r="D1051" s="464"/>
      <c r="E1051" s="465" t="s">
        <v>3556</v>
      </c>
      <c r="F1051" s="466" t="s">
        <v>3061</v>
      </c>
      <c r="G1051" s="464"/>
      <c r="H1051" s="477">
        <v>45104</v>
      </c>
      <c r="I1051" s="488">
        <f t="shared" si="36"/>
        <v>6022897.297297297</v>
      </c>
      <c r="J1051" s="488">
        <f t="shared" si="37"/>
        <v>662518.70270270272</v>
      </c>
      <c r="K1051" s="474">
        <v>6685416</v>
      </c>
      <c r="L1051" s="475"/>
    </row>
    <row r="1052" spans="1:12" x14ac:dyDescent="0.2">
      <c r="A1052" s="305">
        <v>170</v>
      </c>
      <c r="B1052" s="469" t="s">
        <v>1433</v>
      </c>
      <c r="C1052" s="476" t="s">
        <v>5280</v>
      </c>
      <c r="D1052" s="464"/>
      <c r="E1052" s="465" t="s">
        <v>3133</v>
      </c>
      <c r="F1052" s="466" t="s">
        <v>2935</v>
      </c>
      <c r="G1052" s="464"/>
      <c r="H1052" s="477">
        <v>45105</v>
      </c>
      <c r="I1052" s="473">
        <f t="shared" si="36"/>
        <v>577702.70270270261</v>
      </c>
      <c r="J1052" s="473">
        <f t="shared" si="37"/>
        <v>63547.297297297286</v>
      </c>
      <c r="K1052" s="474">
        <v>641250</v>
      </c>
      <c r="L1052" s="475"/>
    </row>
    <row r="1053" spans="1:12" x14ac:dyDescent="0.2">
      <c r="A1053" s="305">
        <v>171</v>
      </c>
      <c r="B1053" s="485" t="s">
        <v>1434</v>
      </c>
      <c r="C1053" s="476" t="s">
        <v>5282</v>
      </c>
      <c r="D1053" s="464"/>
      <c r="E1053" s="465" t="s">
        <v>5283</v>
      </c>
      <c r="F1053" s="466" t="s">
        <v>5284</v>
      </c>
      <c r="G1053" s="464"/>
      <c r="H1053" s="477">
        <v>45107</v>
      </c>
      <c r="I1053" s="488">
        <f t="shared" si="36"/>
        <v>92432.432432432426</v>
      </c>
      <c r="J1053" s="488">
        <f t="shared" si="37"/>
        <v>10167.567567567567</v>
      </c>
      <c r="K1053" s="474">
        <v>102600</v>
      </c>
      <c r="L1053" s="475"/>
    </row>
    <row r="1054" spans="1:12" x14ac:dyDescent="0.2">
      <c r="A1054" s="305">
        <v>172</v>
      </c>
      <c r="B1054" s="469" t="s">
        <v>1435</v>
      </c>
      <c r="C1054" s="476" t="s">
        <v>5287</v>
      </c>
      <c r="D1054" s="464"/>
      <c r="E1054" s="465" t="s">
        <v>4026</v>
      </c>
      <c r="F1054" s="466" t="s">
        <v>3033</v>
      </c>
      <c r="G1054" s="464"/>
      <c r="H1054" s="477">
        <v>45107</v>
      </c>
      <c r="I1054" s="473">
        <f t="shared" si="36"/>
        <v>2894983.7837837837</v>
      </c>
      <c r="J1054" s="473">
        <f t="shared" si="37"/>
        <v>318448.21621621621</v>
      </c>
      <c r="K1054" s="474">
        <v>3213432</v>
      </c>
      <c r="L1054" s="475"/>
    </row>
    <row r="1055" spans="1:12" x14ac:dyDescent="0.2">
      <c r="A1055" s="305">
        <v>173</v>
      </c>
      <c r="B1055" s="485" t="s">
        <v>1436</v>
      </c>
      <c r="C1055" s="476" t="s">
        <v>5289</v>
      </c>
      <c r="D1055" s="464"/>
      <c r="E1055" s="465" t="s">
        <v>5290</v>
      </c>
      <c r="F1055" s="466" t="s">
        <v>2873</v>
      </c>
      <c r="G1055" s="464"/>
      <c r="H1055" s="477">
        <v>45107</v>
      </c>
      <c r="I1055" s="488">
        <f t="shared" si="36"/>
        <v>305163.96396396396</v>
      </c>
      <c r="J1055" s="488">
        <f t="shared" si="37"/>
        <v>33568.036036036036</v>
      </c>
      <c r="K1055" s="474">
        <v>338732</v>
      </c>
      <c r="L1055" s="475"/>
    </row>
    <row r="1056" spans="1:12" x14ac:dyDescent="0.2">
      <c r="A1056" s="305">
        <v>174</v>
      </c>
      <c r="B1056" s="469" t="s">
        <v>1437</v>
      </c>
      <c r="C1056" s="476" t="s">
        <v>5292</v>
      </c>
      <c r="D1056" s="464"/>
      <c r="E1056" s="465" t="s">
        <v>4294</v>
      </c>
      <c r="F1056" s="466" t="s">
        <v>3018</v>
      </c>
      <c r="G1056" s="464"/>
      <c r="H1056" s="477">
        <v>45107</v>
      </c>
      <c r="I1056" s="473">
        <f t="shared" si="36"/>
        <v>665810.81081081077</v>
      </c>
      <c r="J1056" s="473">
        <f t="shared" si="37"/>
        <v>73239.189189189186</v>
      </c>
      <c r="K1056" s="474">
        <v>739050</v>
      </c>
      <c r="L1056" s="475"/>
    </row>
    <row r="1057" spans="1:12" x14ac:dyDescent="0.2">
      <c r="A1057" s="305">
        <v>175</v>
      </c>
      <c r="B1057" s="485" t="s">
        <v>1438</v>
      </c>
      <c r="C1057" s="476" t="s">
        <v>5294</v>
      </c>
      <c r="D1057" s="464"/>
      <c r="E1057" s="465" t="s">
        <v>2914</v>
      </c>
      <c r="F1057" s="466" t="s">
        <v>2915</v>
      </c>
      <c r="G1057" s="464"/>
      <c r="H1057" s="477">
        <v>45107</v>
      </c>
      <c r="I1057" s="488">
        <f t="shared" si="36"/>
        <v>840324.32432432426</v>
      </c>
      <c r="J1057" s="488">
        <f t="shared" si="37"/>
        <v>92435.675675675666</v>
      </c>
      <c r="K1057" s="474">
        <v>932760</v>
      </c>
      <c r="L1057" s="475"/>
    </row>
    <row r="1058" spans="1:12" x14ac:dyDescent="0.2">
      <c r="A1058" s="305">
        <v>176</v>
      </c>
      <c r="B1058" s="469" t="s">
        <v>1439</v>
      </c>
      <c r="C1058" s="476" t="s">
        <v>5295</v>
      </c>
      <c r="D1058" s="464"/>
      <c r="E1058" s="465" t="s">
        <v>3082</v>
      </c>
      <c r="F1058" s="466" t="s">
        <v>3061</v>
      </c>
      <c r="G1058" s="464"/>
      <c r="H1058" s="477">
        <v>45107</v>
      </c>
      <c r="I1058" s="473">
        <f t="shared" si="36"/>
        <v>8864864.8648648635</v>
      </c>
      <c r="J1058" s="473">
        <f t="shared" si="37"/>
        <v>975135.13513513503</v>
      </c>
      <c r="K1058" s="474">
        <v>9840000</v>
      </c>
      <c r="L1058" s="475"/>
    </row>
    <row r="1059" spans="1:12" x14ac:dyDescent="0.2">
      <c r="A1059" s="305">
        <v>177</v>
      </c>
      <c r="B1059" s="485" t="s">
        <v>1440</v>
      </c>
      <c r="C1059" s="480" t="s">
        <v>5337</v>
      </c>
      <c r="D1059" s="481"/>
      <c r="E1059" s="482" t="s">
        <v>2924</v>
      </c>
      <c r="F1059" s="483" t="s">
        <v>2925</v>
      </c>
      <c r="G1059" s="513"/>
      <c r="H1059" s="484">
        <v>45101</v>
      </c>
      <c r="I1059" s="488">
        <f t="shared" si="36"/>
        <v>2966818.9189189188</v>
      </c>
      <c r="J1059" s="488">
        <f t="shared" si="37"/>
        <v>326350.08108108107</v>
      </c>
      <c r="K1059" s="474">
        <f>1854269+1438900</f>
        <v>3293169</v>
      </c>
      <c r="L1059" s="475"/>
    </row>
    <row r="1060" spans="1:12" x14ac:dyDescent="0.2">
      <c r="A1060" s="305">
        <v>178</v>
      </c>
      <c r="B1060" s="469" t="s">
        <v>1441</v>
      </c>
      <c r="C1060" s="476" t="s">
        <v>5296</v>
      </c>
      <c r="D1060" s="464"/>
      <c r="E1060" s="465" t="s">
        <v>3541</v>
      </c>
      <c r="F1060" s="466" t="s">
        <v>2982</v>
      </c>
      <c r="G1060" s="464"/>
      <c r="H1060" s="477">
        <v>45107</v>
      </c>
      <c r="I1060" s="473">
        <f t="shared" si="36"/>
        <v>3012372.9729729728</v>
      </c>
      <c r="J1060" s="473">
        <f t="shared" si="37"/>
        <v>331361.02702702698</v>
      </c>
      <c r="K1060" s="474">
        <v>3343734</v>
      </c>
      <c r="L1060" s="475"/>
    </row>
    <row r="1061" spans="1:12" x14ac:dyDescent="0.2">
      <c r="A1061" s="305">
        <v>179</v>
      </c>
      <c r="B1061" s="485" t="s">
        <v>1442</v>
      </c>
      <c r="C1061" s="476" t="s">
        <v>5297</v>
      </c>
      <c r="D1061" s="464"/>
      <c r="E1061" s="465" t="s">
        <v>5298</v>
      </c>
      <c r="F1061" s="466" t="s">
        <v>2890</v>
      </c>
      <c r="G1061" s="464"/>
      <c r="H1061" s="477">
        <v>45107</v>
      </c>
      <c r="I1061" s="488">
        <f t="shared" si="36"/>
        <v>270270.27027027024</v>
      </c>
      <c r="J1061" s="488">
        <f t="shared" si="37"/>
        <v>29729.729729729726</v>
      </c>
      <c r="K1061" s="474">
        <v>300000</v>
      </c>
      <c r="L1061" s="475"/>
    </row>
    <row r="1062" spans="1:12" x14ac:dyDescent="0.2">
      <c r="A1062" s="305">
        <v>180</v>
      </c>
      <c r="B1062" s="469" t="s">
        <v>1443</v>
      </c>
      <c r="C1062" s="476" t="s">
        <v>5299</v>
      </c>
      <c r="D1062" s="464"/>
      <c r="E1062" s="465" t="s">
        <v>3511</v>
      </c>
      <c r="F1062" s="466" t="s">
        <v>3512</v>
      </c>
      <c r="G1062" s="464"/>
      <c r="H1062" s="477">
        <v>45107</v>
      </c>
      <c r="I1062" s="473">
        <f t="shared" si="36"/>
        <v>2478810.8108108104</v>
      </c>
      <c r="J1062" s="473">
        <f t="shared" si="37"/>
        <v>272669.18918918917</v>
      </c>
      <c r="K1062" s="474">
        <v>2751480</v>
      </c>
      <c r="L1062" s="475"/>
    </row>
    <row r="1063" spans="1:12" x14ac:dyDescent="0.2">
      <c r="A1063" s="305">
        <v>181</v>
      </c>
      <c r="B1063" s="485" t="s">
        <v>1444</v>
      </c>
      <c r="C1063" s="476" t="s">
        <v>5300</v>
      </c>
      <c r="D1063" s="464"/>
      <c r="E1063" s="465" t="s">
        <v>3035</v>
      </c>
      <c r="F1063" s="466" t="s">
        <v>2890</v>
      </c>
      <c r="G1063" s="464"/>
      <c r="H1063" s="477">
        <v>45107</v>
      </c>
      <c r="I1063" s="488">
        <f t="shared" si="36"/>
        <v>70270.270270270266</v>
      </c>
      <c r="J1063" s="488">
        <f t="shared" si="37"/>
        <v>7729.7297297297291</v>
      </c>
      <c r="K1063" s="474">
        <v>78000</v>
      </c>
      <c r="L1063" s="475"/>
    </row>
    <row r="1064" spans="1:12" x14ac:dyDescent="0.2">
      <c r="A1064" s="305">
        <v>182</v>
      </c>
      <c r="B1064" s="469" t="s">
        <v>1445</v>
      </c>
      <c r="C1064" s="480" t="s">
        <v>5301</v>
      </c>
      <c r="D1064" s="481"/>
      <c r="E1064" s="482" t="s">
        <v>3146</v>
      </c>
      <c r="F1064" s="483" t="s">
        <v>3147</v>
      </c>
      <c r="G1064" s="513"/>
      <c r="H1064" s="484">
        <v>45107</v>
      </c>
      <c r="I1064" s="473">
        <f t="shared" si="36"/>
        <v>1957855.8558558556</v>
      </c>
      <c r="J1064" s="473">
        <f t="shared" si="37"/>
        <v>215364.14414414411</v>
      </c>
      <c r="K1064" s="474">
        <v>2173220</v>
      </c>
      <c r="L1064" s="475"/>
    </row>
    <row r="1065" spans="1:12" x14ac:dyDescent="0.2">
      <c r="A1065" s="305">
        <v>183</v>
      </c>
      <c r="B1065" s="485" t="s">
        <v>1446</v>
      </c>
      <c r="C1065" s="476" t="s">
        <v>5302</v>
      </c>
      <c r="D1065" s="464"/>
      <c r="E1065" s="465" t="s">
        <v>3907</v>
      </c>
      <c r="F1065" s="466" t="s">
        <v>2873</v>
      </c>
      <c r="G1065" s="464"/>
      <c r="H1065" s="477">
        <v>45087</v>
      </c>
      <c r="I1065" s="488">
        <f t="shared" si="36"/>
        <v>3070990.9909909908</v>
      </c>
      <c r="J1065" s="488">
        <f t="shared" si="37"/>
        <v>337809.00900900899</v>
      </c>
      <c r="K1065" s="474">
        <v>3408800</v>
      </c>
      <c r="L1065" s="475"/>
    </row>
    <row r="1066" spans="1:12" x14ac:dyDescent="0.2">
      <c r="A1066" s="305">
        <v>184</v>
      </c>
      <c r="B1066" s="469" t="s">
        <v>1447</v>
      </c>
      <c r="C1066" s="476" t="s">
        <v>5353</v>
      </c>
      <c r="D1066" s="464"/>
      <c r="E1066" s="465" t="s">
        <v>2947</v>
      </c>
      <c r="F1066" s="466" t="s">
        <v>2823</v>
      </c>
      <c r="G1066" s="464"/>
      <c r="H1066" s="477">
        <v>45103</v>
      </c>
      <c r="I1066" s="473">
        <f t="shared" ref="I1066:I1082" si="38">K1066/1.11</f>
        <v>6500156.7567567565</v>
      </c>
      <c r="J1066" s="473">
        <f t="shared" ref="J1066:J1082" si="39">I1066*11%</f>
        <v>715017.2432432432</v>
      </c>
      <c r="K1066" s="474">
        <f>6679602+535572</f>
        <v>7215174</v>
      </c>
      <c r="L1066" s="475"/>
    </row>
    <row r="1067" spans="1:12" x14ac:dyDescent="0.2">
      <c r="A1067" s="305">
        <v>185</v>
      </c>
      <c r="B1067" s="485" t="s">
        <v>1448</v>
      </c>
      <c r="C1067" s="476" t="s">
        <v>5349</v>
      </c>
      <c r="D1067" s="464"/>
      <c r="E1067" s="465" t="s">
        <v>2898</v>
      </c>
      <c r="F1067" s="466" t="s">
        <v>2823</v>
      </c>
      <c r="G1067" s="464"/>
      <c r="H1067" s="477">
        <v>45098</v>
      </c>
      <c r="I1067" s="488">
        <f t="shared" si="38"/>
        <v>48644162.162162155</v>
      </c>
      <c r="J1067" s="488">
        <f t="shared" si="39"/>
        <v>5350857.8378378367</v>
      </c>
      <c r="K1067" s="474">
        <f>13362150+3545856+37087014</f>
        <v>53995020</v>
      </c>
      <c r="L1067" s="475"/>
    </row>
    <row r="1068" spans="1:12" x14ac:dyDescent="0.2">
      <c r="A1068" s="305">
        <v>186</v>
      </c>
      <c r="B1068" s="469" t="s">
        <v>1449</v>
      </c>
      <c r="C1068" s="476" t="s">
        <v>5215</v>
      </c>
      <c r="D1068" s="464"/>
      <c r="E1068" s="465" t="s">
        <v>2907</v>
      </c>
      <c r="F1068" s="466" t="s">
        <v>2858</v>
      </c>
      <c r="G1068" s="518"/>
      <c r="H1068" s="477">
        <v>45082</v>
      </c>
      <c r="I1068" s="488">
        <f t="shared" si="38"/>
        <v>20161054.054054052</v>
      </c>
      <c r="J1068" s="488">
        <f t="shared" si="39"/>
        <v>2217715.9459459456</v>
      </c>
      <c r="K1068" s="474">
        <f>7838640+9623880+4916250</f>
        <v>22378770</v>
      </c>
      <c r="L1068" s="475"/>
    </row>
    <row r="1069" spans="1:12" x14ac:dyDescent="0.2">
      <c r="A1069" s="305">
        <v>187</v>
      </c>
      <c r="B1069" s="485" t="s">
        <v>1450</v>
      </c>
      <c r="C1069" s="476" t="s">
        <v>5321</v>
      </c>
      <c r="D1069" s="464"/>
      <c r="E1069" s="465" t="s">
        <v>3605</v>
      </c>
      <c r="F1069" s="466" t="s">
        <v>2915</v>
      </c>
      <c r="G1069" s="464"/>
      <c r="H1069" s="477">
        <v>45083</v>
      </c>
      <c r="I1069" s="488">
        <f t="shared" si="38"/>
        <v>65346748.648648642</v>
      </c>
      <c r="J1069" s="488">
        <f t="shared" si="39"/>
        <v>7188142.3513513505</v>
      </c>
      <c r="K1069" s="474">
        <f>13164093+28402698+30968100</f>
        <v>72534891</v>
      </c>
      <c r="L1069" s="475"/>
    </row>
    <row r="1070" spans="1:12" x14ac:dyDescent="0.2">
      <c r="A1070" s="305">
        <v>188</v>
      </c>
      <c r="B1070" s="469" t="s">
        <v>1451</v>
      </c>
      <c r="C1070" s="476" t="s">
        <v>5322</v>
      </c>
      <c r="D1070" s="464"/>
      <c r="E1070" s="465" t="s">
        <v>3605</v>
      </c>
      <c r="F1070" s="466" t="s">
        <v>2915</v>
      </c>
      <c r="G1070" s="464"/>
      <c r="H1070" s="477">
        <v>45085</v>
      </c>
      <c r="I1070" s="473">
        <f t="shared" si="38"/>
        <v>41743517.117117114</v>
      </c>
      <c r="J1070" s="473">
        <f t="shared" si="39"/>
        <v>4591786.8828828828</v>
      </c>
      <c r="K1070" s="474">
        <f>17117784+4801680+24415840</f>
        <v>46335304</v>
      </c>
      <c r="L1070" s="475"/>
    </row>
    <row r="1071" spans="1:12" x14ac:dyDescent="0.2">
      <c r="A1071" s="305">
        <v>189</v>
      </c>
      <c r="B1071" s="485" t="s">
        <v>1452</v>
      </c>
      <c r="C1071" s="476" t="s">
        <v>5323</v>
      </c>
      <c r="D1071" s="464"/>
      <c r="E1071" s="465" t="s">
        <v>3605</v>
      </c>
      <c r="F1071" s="466" t="s">
        <v>2915</v>
      </c>
      <c r="G1071" s="464"/>
      <c r="H1071" s="477">
        <v>45091</v>
      </c>
      <c r="I1071" s="488">
        <f t="shared" si="38"/>
        <v>46277497.297297291</v>
      </c>
      <c r="J1071" s="488">
        <f t="shared" si="39"/>
        <v>5090524.702702702</v>
      </c>
      <c r="K1071" s="474">
        <f>31480038+19887984</f>
        <v>51368022</v>
      </c>
      <c r="L1071" s="475"/>
    </row>
    <row r="1072" spans="1:12" x14ac:dyDescent="0.2">
      <c r="A1072" s="305">
        <v>190</v>
      </c>
      <c r="B1072" s="469" t="s">
        <v>1453</v>
      </c>
      <c r="C1072" s="480" t="s">
        <v>5324</v>
      </c>
      <c r="D1072" s="481"/>
      <c r="E1072" s="482" t="s">
        <v>3043</v>
      </c>
      <c r="F1072" s="483" t="s">
        <v>3044</v>
      </c>
      <c r="G1072" s="513"/>
      <c r="H1072" s="484">
        <v>45082</v>
      </c>
      <c r="I1072" s="473">
        <f t="shared" si="38"/>
        <v>17905405.405405402</v>
      </c>
      <c r="J1072" s="473">
        <f t="shared" si="39"/>
        <v>1969594.5945945943</v>
      </c>
      <c r="K1072" s="474">
        <v>19875000</v>
      </c>
      <c r="L1072" s="475"/>
    </row>
    <row r="1073" spans="1:12" x14ac:dyDescent="0.2">
      <c r="A1073" s="305">
        <v>191</v>
      </c>
      <c r="B1073" s="485" t="s">
        <v>1454</v>
      </c>
      <c r="C1073" s="476" t="s">
        <v>5324</v>
      </c>
      <c r="D1073" s="464"/>
      <c r="E1073" s="465" t="s">
        <v>4319</v>
      </c>
      <c r="F1073" s="466" t="s">
        <v>3001</v>
      </c>
      <c r="G1073" s="464"/>
      <c r="H1073" s="477">
        <v>45092</v>
      </c>
      <c r="I1073" s="488">
        <f t="shared" si="38"/>
        <v>499999.99999999994</v>
      </c>
      <c r="J1073" s="488">
        <f t="shared" si="39"/>
        <v>54999.999999999993</v>
      </c>
      <c r="K1073" s="474">
        <v>555000</v>
      </c>
      <c r="L1073" s="475"/>
    </row>
    <row r="1074" spans="1:12" x14ac:dyDescent="0.2">
      <c r="A1074" s="305">
        <v>192</v>
      </c>
      <c r="B1074" s="469" t="s">
        <v>1455</v>
      </c>
      <c r="C1074" s="476" t="s">
        <v>5325</v>
      </c>
      <c r="D1074" s="464"/>
      <c r="E1074" s="465" t="s">
        <v>3087</v>
      </c>
      <c r="F1074" s="466" t="s">
        <v>2919</v>
      </c>
      <c r="G1074" s="464"/>
      <c r="H1074" s="477">
        <v>45100</v>
      </c>
      <c r="I1074" s="473">
        <f t="shared" si="38"/>
        <v>4941666.666666666</v>
      </c>
      <c r="J1074" s="473">
        <f t="shared" si="39"/>
        <v>543583.33333333326</v>
      </c>
      <c r="K1074" s="474">
        <f>5235250+250000</f>
        <v>5485250</v>
      </c>
      <c r="L1074" s="475"/>
    </row>
    <row r="1075" spans="1:12" x14ac:dyDescent="0.2">
      <c r="A1075" s="305">
        <v>193</v>
      </c>
      <c r="B1075" s="485" t="s">
        <v>1456</v>
      </c>
      <c r="C1075" s="476" t="s">
        <v>5327</v>
      </c>
      <c r="D1075" s="464"/>
      <c r="E1075" s="465" t="s">
        <v>5328</v>
      </c>
      <c r="F1075" s="466" t="s">
        <v>3025</v>
      </c>
      <c r="G1075" s="464"/>
      <c r="H1075" s="477">
        <v>45097</v>
      </c>
      <c r="I1075" s="488">
        <f t="shared" si="38"/>
        <v>5494637.8378378376</v>
      </c>
      <c r="J1075" s="488">
        <f t="shared" si="39"/>
        <v>604410.16216216213</v>
      </c>
      <c r="K1075" s="474">
        <v>6099048</v>
      </c>
      <c r="L1075" s="475"/>
    </row>
    <row r="1076" spans="1:12" x14ac:dyDescent="0.2">
      <c r="A1076" s="305">
        <v>194</v>
      </c>
      <c r="B1076" s="469" t="s">
        <v>1457</v>
      </c>
      <c r="C1076" s="476" t="s">
        <v>5330</v>
      </c>
      <c r="D1076" s="464"/>
      <c r="E1076" s="465" t="s">
        <v>3527</v>
      </c>
      <c r="F1076" s="466" t="s">
        <v>2922</v>
      </c>
      <c r="G1076" s="464"/>
      <c r="H1076" s="477">
        <v>45097</v>
      </c>
      <c r="I1076" s="473">
        <f t="shared" si="38"/>
        <v>5389666.666666666</v>
      </c>
      <c r="J1076" s="473">
        <f t="shared" si="39"/>
        <v>592863.33333333326</v>
      </c>
      <c r="K1076" s="474">
        <v>5982530</v>
      </c>
      <c r="L1076" s="475"/>
    </row>
    <row r="1077" spans="1:12" x14ac:dyDescent="0.2">
      <c r="A1077" s="305">
        <v>195</v>
      </c>
      <c r="B1077" s="485" t="s">
        <v>1458</v>
      </c>
      <c r="C1077" s="476" t="s">
        <v>5331</v>
      </c>
      <c r="D1077" s="464"/>
      <c r="E1077" s="465" t="s">
        <v>5332</v>
      </c>
      <c r="F1077" s="466" t="s">
        <v>3025</v>
      </c>
      <c r="G1077" s="464"/>
      <c r="H1077" s="477">
        <v>45097</v>
      </c>
      <c r="I1077" s="488">
        <f t="shared" si="38"/>
        <v>526864.86486486485</v>
      </c>
      <c r="J1077" s="488">
        <f t="shared" si="39"/>
        <v>57955.135135135133</v>
      </c>
      <c r="K1077" s="474">
        <v>584820</v>
      </c>
      <c r="L1077" s="475"/>
    </row>
    <row r="1078" spans="1:12" x14ac:dyDescent="0.2">
      <c r="A1078" s="305">
        <v>196</v>
      </c>
      <c r="B1078" s="469" t="s">
        <v>1459</v>
      </c>
      <c r="C1078" s="476" t="s">
        <v>5333</v>
      </c>
      <c r="D1078" s="464"/>
      <c r="E1078" s="465" t="s">
        <v>3030</v>
      </c>
      <c r="F1078" s="466" t="s">
        <v>2892</v>
      </c>
      <c r="G1078" s="464"/>
      <c r="H1078" s="477">
        <v>45099</v>
      </c>
      <c r="I1078" s="473">
        <f t="shared" si="38"/>
        <v>2823338.7387387385</v>
      </c>
      <c r="J1078" s="473">
        <f t="shared" si="39"/>
        <v>310567.26126126124</v>
      </c>
      <c r="K1078" s="474">
        <v>3133906</v>
      </c>
      <c r="L1078" s="475"/>
    </row>
    <row r="1079" spans="1:12" x14ac:dyDescent="0.2">
      <c r="A1079" s="305">
        <v>197</v>
      </c>
      <c r="B1079" s="485" t="s">
        <v>1460</v>
      </c>
      <c r="C1079" s="476" t="s">
        <v>5334</v>
      </c>
      <c r="D1079" s="464"/>
      <c r="E1079" s="465" t="s">
        <v>2893</v>
      </c>
      <c r="F1079" s="466" t="s">
        <v>2890</v>
      </c>
      <c r="G1079" s="464"/>
      <c r="H1079" s="477">
        <v>45099</v>
      </c>
      <c r="I1079" s="488">
        <f t="shared" si="38"/>
        <v>2894983.7837837837</v>
      </c>
      <c r="J1079" s="488">
        <f t="shared" si="39"/>
        <v>318448.21621621621</v>
      </c>
      <c r="K1079" s="474">
        <v>3213432</v>
      </c>
      <c r="L1079" s="475"/>
    </row>
    <row r="1080" spans="1:12" x14ac:dyDescent="0.2">
      <c r="A1080" s="305">
        <v>198</v>
      </c>
      <c r="B1080" s="469" t="s">
        <v>1461</v>
      </c>
      <c r="C1080" s="476" t="s">
        <v>5335</v>
      </c>
      <c r="D1080" s="464"/>
      <c r="E1080" s="465" t="s">
        <v>3087</v>
      </c>
      <c r="F1080" s="466" t="s">
        <v>2892</v>
      </c>
      <c r="G1080" s="464"/>
      <c r="H1080" s="477">
        <v>45099</v>
      </c>
      <c r="I1080" s="473">
        <f t="shared" si="38"/>
        <v>1160216.2162162161</v>
      </c>
      <c r="J1080" s="473">
        <f t="shared" si="39"/>
        <v>127623.78378378377</v>
      </c>
      <c r="K1080" s="474">
        <v>1287840</v>
      </c>
      <c r="L1080" s="475"/>
    </row>
    <row r="1081" spans="1:12" x14ac:dyDescent="0.2">
      <c r="A1081" s="305">
        <v>199</v>
      </c>
      <c r="B1081" s="485" t="s">
        <v>1462</v>
      </c>
      <c r="C1081" s="476" t="s">
        <v>5338</v>
      </c>
      <c r="D1081" s="464"/>
      <c r="E1081" s="465" t="s">
        <v>3004</v>
      </c>
      <c r="F1081" s="466" t="s">
        <v>3006</v>
      </c>
      <c r="G1081" s="464"/>
      <c r="H1081" s="477">
        <v>45104</v>
      </c>
      <c r="I1081" s="488">
        <f t="shared" si="38"/>
        <v>486036.03603603598</v>
      </c>
      <c r="J1081" s="488">
        <f t="shared" si="39"/>
        <v>53463.963963963957</v>
      </c>
      <c r="K1081" s="474">
        <v>539500</v>
      </c>
      <c r="L1081" s="475"/>
    </row>
    <row r="1082" spans="1:12" x14ac:dyDescent="0.2">
      <c r="A1082" s="305">
        <v>200</v>
      </c>
      <c r="B1082" s="469" t="s">
        <v>1463</v>
      </c>
      <c r="C1082" s="480" t="s">
        <v>5339</v>
      </c>
      <c r="D1082" s="481"/>
      <c r="E1082" s="482" t="s">
        <v>2907</v>
      </c>
      <c r="F1082" s="483" t="s">
        <v>3092</v>
      </c>
      <c r="G1082" s="513"/>
      <c r="H1082" s="484">
        <v>45104</v>
      </c>
      <c r="I1082" s="473">
        <f t="shared" si="38"/>
        <v>2047378.3783783782</v>
      </c>
      <c r="J1082" s="473">
        <f t="shared" si="39"/>
        <v>225211.6216216216</v>
      </c>
      <c r="K1082" s="474">
        <v>2272590</v>
      </c>
      <c r="L1082" s="475"/>
    </row>
    <row r="1083" spans="1:12" x14ac:dyDescent="0.2">
      <c r="A1083" s="305">
        <v>201</v>
      </c>
      <c r="B1083" s="485" t="s">
        <v>5303</v>
      </c>
      <c r="C1083" s="476" t="s">
        <v>5342</v>
      </c>
      <c r="D1083" s="464"/>
      <c r="E1083" s="465" t="s">
        <v>3122</v>
      </c>
      <c r="F1083" s="466" t="s">
        <v>2946</v>
      </c>
      <c r="G1083" s="464"/>
      <c r="H1083" s="477">
        <v>45107</v>
      </c>
      <c r="I1083" s="488">
        <f t="shared" ref="I1083:I1098" si="40">K1083/1.11</f>
        <v>720972.9729729729</v>
      </c>
      <c r="J1083" s="488">
        <f t="shared" ref="J1083:J1098" si="41">I1083*11%</f>
        <v>79307.027027027027</v>
      </c>
      <c r="K1083" s="474">
        <v>800280</v>
      </c>
      <c r="L1083" s="475"/>
    </row>
    <row r="1084" spans="1:12" x14ac:dyDescent="0.2">
      <c r="A1084" s="305">
        <v>202</v>
      </c>
      <c r="B1084" s="469" t="s">
        <v>5304</v>
      </c>
      <c r="C1084" s="476" t="s">
        <v>5343</v>
      </c>
      <c r="D1084" s="464"/>
      <c r="E1084" s="465" t="s">
        <v>3581</v>
      </c>
      <c r="F1084" s="466" t="s">
        <v>2944</v>
      </c>
      <c r="G1084" s="464"/>
      <c r="H1084" s="477">
        <v>45107</v>
      </c>
      <c r="I1084" s="473">
        <f t="shared" si="40"/>
        <v>1751351.3513513512</v>
      </c>
      <c r="J1084" s="473">
        <f t="shared" si="41"/>
        <v>192648.64864864864</v>
      </c>
      <c r="K1084" s="474">
        <v>1944000</v>
      </c>
      <c r="L1084" s="475"/>
    </row>
    <row r="1085" spans="1:12" x14ac:dyDescent="0.2">
      <c r="A1085" s="305">
        <v>203</v>
      </c>
      <c r="B1085" s="485" t="s">
        <v>5305</v>
      </c>
      <c r="C1085" s="476" t="s">
        <v>5344</v>
      </c>
      <c r="D1085" s="464"/>
      <c r="E1085" s="465" t="s">
        <v>2962</v>
      </c>
      <c r="F1085" s="466" t="s">
        <v>2908</v>
      </c>
      <c r="G1085" s="464"/>
      <c r="H1085" s="477">
        <v>45107</v>
      </c>
      <c r="I1085" s="488">
        <f t="shared" si="40"/>
        <v>504504.50450450444</v>
      </c>
      <c r="J1085" s="488">
        <f t="shared" si="41"/>
        <v>55495.495495495488</v>
      </c>
      <c r="K1085" s="474">
        <v>560000</v>
      </c>
      <c r="L1085" s="475"/>
    </row>
    <row r="1086" spans="1:12" x14ac:dyDescent="0.2">
      <c r="A1086" s="305">
        <v>204</v>
      </c>
      <c r="B1086" s="469" t="s">
        <v>5306</v>
      </c>
      <c r="C1086" s="476" t="s">
        <v>5372</v>
      </c>
      <c r="D1086" s="464"/>
      <c r="E1086" s="465" t="s">
        <v>2934</v>
      </c>
      <c r="F1086" s="466" t="s">
        <v>2935</v>
      </c>
      <c r="G1086" s="464"/>
      <c r="H1086" s="477">
        <v>45107</v>
      </c>
      <c r="I1086" s="473">
        <f t="shared" si="40"/>
        <v>4936970.2702702703</v>
      </c>
      <c r="J1086" s="473">
        <f t="shared" si="41"/>
        <v>543066.7297297297</v>
      </c>
      <c r="K1086" s="474">
        <f>4178043+1301994</f>
        <v>5480037</v>
      </c>
      <c r="L1086" s="475"/>
    </row>
    <row r="1087" spans="1:12" x14ac:dyDescent="0.2">
      <c r="A1087" s="305">
        <v>205</v>
      </c>
      <c r="B1087" s="485" t="s">
        <v>5307</v>
      </c>
      <c r="C1087" s="476" t="s">
        <v>5355</v>
      </c>
      <c r="D1087" s="464"/>
      <c r="E1087" s="465" t="s">
        <v>3011</v>
      </c>
      <c r="F1087" s="466" t="s">
        <v>2823</v>
      </c>
      <c r="G1087" s="464"/>
      <c r="H1087" s="477">
        <v>45103</v>
      </c>
      <c r="I1087" s="488">
        <f t="shared" si="40"/>
        <v>15064791.891891891</v>
      </c>
      <c r="J1087" s="488">
        <f t="shared" si="41"/>
        <v>1657127.1081081079</v>
      </c>
      <c r="K1087" s="474">
        <f>7479711+9242208</f>
        <v>16721919</v>
      </c>
      <c r="L1087" s="475"/>
    </row>
    <row r="1088" spans="1:12" x14ac:dyDescent="0.2">
      <c r="A1088" s="305">
        <v>206</v>
      </c>
      <c r="B1088" s="469" t="s">
        <v>5308</v>
      </c>
      <c r="C1088" s="476" t="s">
        <v>5354</v>
      </c>
      <c r="D1088" s="464"/>
      <c r="E1088" s="465" t="s">
        <v>2898</v>
      </c>
      <c r="F1088" s="466" t="s">
        <v>2823</v>
      </c>
      <c r="G1088" s="464"/>
      <c r="H1088" s="477">
        <v>45104</v>
      </c>
      <c r="I1088" s="473">
        <f t="shared" si="40"/>
        <v>21526589.189189188</v>
      </c>
      <c r="J1088" s="473">
        <f t="shared" si="41"/>
        <v>2367924.8108108109</v>
      </c>
      <c r="K1088" s="474">
        <f>12301740+11592774</f>
        <v>23894514</v>
      </c>
      <c r="L1088" s="475"/>
    </row>
    <row r="1089" spans="1:12" x14ac:dyDescent="0.2">
      <c r="A1089" s="305">
        <v>207</v>
      </c>
      <c r="B1089" s="485" t="s">
        <v>5309</v>
      </c>
      <c r="C1089" s="476" t="s">
        <v>5397</v>
      </c>
      <c r="D1089" s="464"/>
      <c r="E1089" s="465" t="s">
        <v>2900</v>
      </c>
      <c r="F1089" s="466" t="s">
        <v>2823</v>
      </c>
      <c r="G1089" s="464"/>
      <c r="H1089" s="477">
        <v>45107</v>
      </c>
      <c r="I1089" s="488">
        <f t="shared" si="40"/>
        <v>22599729.729729727</v>
      </c>
      <c r="J1089" s="488">
        <f t="shared" si="41"/>
        <v>2485970.2702702698</v>
      </c>
      <c r="K1089" s="474">
        <f>20961180+4124520</f>
        <v>25085700</v>
      </c>
      <c r="L1089" s="475"/>
    </row>
    <row r="1090" spans="1:12" x14ac:dyDescent="0.2">
      <c r="A1090" s="305">
        <v>208</v>
      </c>
      <c r="B1090" s="469" t="s">
        <v>5310</v>
      </c>
      <c r="C1090" s="476" t="s">
        <v>5358</v>
      </c>
      <c r="D1090" s="464"/>
      <c r="E1090" s="465" t="s">
        <v>2945</v>
      </c>
      <c r="F1090" s="466" t="s">
        <v>2946</v>
      </c>
      <c r="G1090" s="464"/>
      <c r="H1090" s="477">
        <v>45107</v>
      </c>
      <c r="I1090" s="473">
        <f t="shared" si="40"/>
        <v>1064821.6216216215</v>
      </c>
      <c r="J1090" s="473">
        <f t="shared" si="41"/>
        <v>117130.37837837837</v>
      </c>
      <c r="K1090" s="474">
        <v>1181952</v>
      </c>
      <c r="L1090" s="475"/>
    </row>
    <row r="1091" spans="1:12" x14ac:dyDescent="0.2">
      <c r="A1091" s="305">
        <v>209</v>
      </c>
      <c r="B1091" s="485" t="s">
        <v>5311</v>
      </c>
      <c r="C1091" s="476" t="s">
        <v>5360</v>
      </c>
      <c r="D1091" s="464"/>
      <c r="E1091" s="465" t="s">
        <v>2918</v>
      </c>
      <c r="F1091" s="466" t="s">
        <v>2919</v>
      </c>
      <c r="G1091" s="464"/>
      <c r="H1091" s="477">
        <v>45107</v>
      </c>
      <c r="I1091" s="488">
        <f t="shared" si="40"/>
        <v>1148010.8108108107</v>
      </c>
      <c r="J1091" s="488">
        <f t="shared" si="41"/>
        <v>126281.18918918917</v>
      </c>
      <c r="K1091" s="474">
        <v>1274292</v>
      </c>
      <c r="L1091" s="475"/>
    </row>
    <row r="1092" spans="1:12" x14ac:dyDescent="0.2">
      <c r="A1092" s="305">
        <v>210</v>
      </c>
      <c r="B1092" s="469" t="s">
        <v>5312</v>
      </c>
      <c r="C1092" s="480" t="s">
        <v>5373</v>
      </c>
      <c r="D1092" s="481"/>
      <c r="E1092" s="482" t="s">
        <v>3608</v>
      </c>
      <c r="F1092" s="483" t="s">
        <v>3609</v>
      </c>
      <c r="G1092" s="513"/>
      <c r="H1092" s="484">
        <v>45085</v>
      </c>
      <c r="I1092" s="473">
        <f t="shared" si="40"/>
        <v>6186810.81081081</v>
      </c>
      <c r="J1092" s="473">
        <f t="shared" si="41"/>
        <v>680549.18918918911</v>
      </c>
      <c r="K1092" s="474">
        <f>1908360+1440000+3519000</f>
        <v>6867360</v>
      </c>
      <c r="L1092" s="475"/>
    </row>
    <row r="1093" spans="1:12" x14ac:dyDescent="0.2">
      <c r="A1093" s="305">
        <v>211</v>
      </c>
      <c r="B1093" s="485" t="s">
        <v>5313</v>
      </c>
      <c r="C1093" s="476" t="s">
        <v>5374</v>
      </c>
      <c r="D1093" s="464"/>
      <c r="E1093" s="465" t="s">
        <v>3608</v>
      </c>
      <c r="F1093" s="466" t="s">
        <v>3609</v>
      </c>
      <c r="G1093" s="464"/>
      <c r="H1093" s="477">
        <v>45087</v>
      </c>
      <c r="I1093" s="488">
        <f t="shared" si="40"/>
        <v>8407965.7657657657</v>
      </c>
      <c r="J1093" s="488">
        <f t="shared" si="41"/>
        <v>924876.2342342342</v>
      </c>
      <c r="K1093" s="474">
        <f>2600910+5229868+1502064</f>
        <v>9332842</v>
      </c>
      <c r="L1093" s="475"/>
    </row>
    <row r="1094" spans="1:12" x14ac:dyDescent="0.2">
      <c r="A1094" s="305">
        <v>212</v>
      </c>
      <c r="B1094" s="469" t="s">
        <v>5314</v>
      </c>
      <c r="C1094" s="476" t="s">
        <v>5375</v>
      </c>
      <c r="D1094" s="464"/>
      <c r="E1094" s="465" t="s">
        <v>3608</v>
      </c>
      <c r="F1094" s="466" t="s">
        <v>3609</v>
      </c>
      <c r="G1094" s="464"/>
      <c r="H1094" s="477">
        <v>45104</v>
      </c>
      <c r="I1094" s="473">
        <f t="shared" si="40"/>
        <v>6604407.2072072066</v>
      </c>
      <c r="J1094" s="473">
        <f t="shared" si="41"/>
        <v>726484.79279279278</v>
      </c>
      <c r="K1094" s="474">
        <f>751032+2550000+4029860</f>
        <v>7330892</v>
      </c>
      <c r="L1094" s="475"/>
    </row>
    <row r="1095" spans="1:12" x14ac:dyDescent="0.2">
      <c r="A1095" s="305">
        <v>213</v>
      </c>
      <c r="B1095" s="485" t="s">
        <v>5315</v>
      </c>
      <c r="C1095" s="476" t="s">
        <v>5376</v>
      </c>
      <c r="D1095" s="464"/>
      <c r="E1095" s="465" t="s">
        <v>3614</v>
      </c>
      <c r="F1095" s="466" t="s">
        <v>3609</v>
      </c>
      <c r="G1095" s="464"/>
      <c r="H1095" s="477">
        <v>45084</v>
      </c>
      <c r="I1095" s="488">
        <f t="shared" si="40"/>
        <v>3523198.1981981979</v>
      </c>
      <c r="J1095" s="488">
        <f t="shared" si="41"/>
        <v>387551.80180180178</v>
      </c>
      <c r="K1095" s="474">
        <f>870840+1033811+840990+515609+282300+367200</f>
        <v>3910750</v>
      </c>
      <c r="L1095" s="475"/>
    </row>
    <row r="1096" spans="1:12" x14ac:dyDescent="0.2">
      <c r="A1096" s="305">
        <v>214</v>
      </c>
      <c r="B1096" s="469" t="s">
        <v>5316</v>
      </c>
      <c r="C1096" s="476" t="s">
        <v>5377</v>
      </c>
      <c r="D1096" s="464"/>
      <c r="E1096" s="465" t="s">
        <v>3614</v>
      </c>
      <c r="F1096" s="466" t="s">
        <v>3609</v>
      </c>
      <c r="G1096" s="464"/>
      <c r="H1096" s="477">
        <v>45090</v>
      </c>
      <c r="I1096" s="473">
        <f t="shared" si="40"/>
        <v>4455434.2342342334</v>
      </c>
      <c r="J1096" s="473">
        <f t="shared" si="41"/>
        <v>490097.76576576568</v>
      </c>
      <c r="K1096" s="474">
        <f>518100+295570+1695436+748633+222488+1465305</f>
        <v>4945532</v>
      </c>
      <c r="L1096" s="475"/>
    </row>
    <row r="1097" spans="1:12" x14ac:dyDescent="0.2">
      <c r="A1097" s="305">
        <v>215</v>
      </c>
      <c r="B1097" s="485" t="s">
        <v>5317</v>
      </c>
      <c r="C1097" s="476" t="s">
        <v>5378</v>
      </c>
      <c r="D1097" s="464"/>
      <c r="E1097" s="465" t="s">
        <v>3614</v>
      </c>
      <c r="F1097" s="466" t="s">
        <v>3609</v>
      </c>
      <c r="G1097" s="464"/>
      <c r="H1097" s="477">
        <v>45096</v>
      </c>
      <c r="I1097" s="488">
        <f t="shared" si="40"/>
        <v>4902414.4144144142</v>
      </c>
      <c r="J1097" s="488">
        <f t="shared" si="41"/>
        <v>539265.58558558556</v>
      </c>
      <c r="K1097" s="474">
        <f>1676480+451850+165370+885305+1368736+893939</f>
        <v>5441680</v>
      </c>
      <c r="L1097" s="475"/>
    </row>
    <row r="1098" spans="1:12" x14ac:dyDescent="0.2">
      <c r="A1098" s="305">
        <v>216</v>
      </c>
      <c r="B1098" s="469" t="s">
        <v>5318</v>
      </c>
      <c r="C1098" s="476" t="s">
        <v>5379</v>
      </c>
      <c r="D1098" s="464"/>
      <c r="E1098" s="465" t="s">
        <v>3614</v>
      </c>
      <c r="F1098" s="466" t="s">
        <v>3609</v>
      </c>
      <c r="G1098" s="464"/>
      <c r="H1098" s="477">
        <v>45103</v>
      </c>
      <c r="I1098" s="473">
        <f t="shared" si="40"/>
        <v>3493100.9009009004</v>
      </c>
      <c r="J1098" s="473">
        <f t="shared" si="41"/>
        <v>384241.09909909905</v>
      </c>
      <c r="K1098" s="474">
        <f>97257+981065+2157720+641300</f>
        <v>3877342</v>
      </c>
      <c r="L1098" s="475"/>
    </row>
    <row r="1099" spans="1:12" ht="18" x14ac:dyDescent="0.25">
      <c r="B1099" s="490" t="s">
        <v>285</v>
      </c>
      <c r="C1099" s="491"/>
      <c r="D1099" s="492"/>
      <c r="E1099" s="493"/>
      <c r="F1099" s="494"/>
      <c r="G1099" s="514"/>
      <c r="H1099" s="495"/>
      <c r="I1099" s="496">
        <f>SUM(I883:I1098)</f>
        <v>2037014657.207206</v>
      </c>
      <c r="J1099" s="496">
        <f>SUM(J883:J1098)</f>
        <v>224071612.29279295</v>
      </c>
      <c r="K1099" s="496">
        <f>SUM(K883:K1098)</f>
        <v>2261086269.5</v>
      </c>
      <c r="L1099" s="497"/>
    </row>
    <row r="1100" spans="1:12" s="352" customFormat="1" ht="20.25" x14ac:dyDescent="0.3">
      <c r="A1100" s="305"/>
      <c r="B1100" s="498" t="s">
        <v>104</v>
      </c>
      <c r="C1100" s="486"/>
      <c r="D1100" s="487"/>
      <c r="E1100" s="487"/>
      <c r="F1100" s="487"/>
      <c r="G1100" s="487"/>
      <c r="H1100" s="499"/>
      <c r="I1100" s="500"/>
      <c r="J1100" s="500"/>
      <c r="K1100" s="501"/>
      <c r="L1100" s="502"/>
    </row>
    <row r="1101" spans="1:12" s="520" customFormat="1" x14ac:dyDescent="0.2">
      <c r="A1101" s="517">
        <v>1</v>
      </c>
      <c r="B1101" s="485" t="s">
        <v>1464</v>
      </c>
      <c r="C1101" s="486" t="s">
        <v>5461</v>
      </c>
      <c r="D1101" s="464" t="s">
        <v>2849</v>
      </c>
      <c r="E1101" s="471" t="s">
        <v>2850</v>
      </c>
      <c r="F1101" s="471" t="s">
        <v>2851</v>
      </c>
      <c r="G1101" s="518" t="s">
        <v>3866</v>
      </c>
      <c r="H1101" s="519">
        <v>45111</v>
      </c>
      <c r="I1101" s="488">
        <f>K1101/1.11</f>
        <v>521513.51351351349</v>
      </c>
      <c r="J1101" s="488">
        <f>I1101*11%</f>
        <v>57366.486486486487</v>
      </c>
      <c r="K1101" s="489">
        <v>578880</v>
      </c>
      <c r="L1101" s="547"/>
    </row>
    <row r="1102" spans="1:12" s="520" customFormat="1" x14ac:dyDescent="0.2">
      <c r="A1102" s="517">
        <v>2</v>
      </c>
      <c r="B1102" s="469" t="s">
        <v>1465</v>
      </c>
      <c r="C1102" s="470" t="s">
        <v>5462</v>
      </c>
      <c r="D1102" s="487" t="s">
        <v>4931</v>
      </c>
      <c r="E1102" s="503" t="s">
        <v>4940</v>
      </c>
      <c r="F1102" s="504" t="s">
        <v>2808</v>
      </c>
      <c r="G1102" s="518" t="s">
        <v>3867</v>
      </c>
      <c r="H1102" s="519">
        <v>45112</v>
      </c>
      <c r="I1102" s="473">
        <f>K1102/1.11</f>
        <v>8991216.2162162159</v>
      </c>
      <c r="J1102" s="473">
        <f>I1102*11%</f>
        <v>989033.78378378379</v>
      </c>
      <c r="K1102" s="474">
        <v>9980250</v>
      </c>
      <c r="L1102" s="475"/>
    </row>
    <row r="1103" spans="1:12" s="520" customFormat="1" x14ac:dyDescent="0.2">
      <c r="A1103" s="517">
        <v>3</v>
      </c>
      <c r="B1103" s="485" t="s">
        <v>1466</v>
      </c>
      <c r="C1103" s="476" t="s">
        <v>5463</v>
      </c>
      <c r="D1103" s="464" t="s">
        <v>2758</v>
      </c>
      <c r="E1103" s="708" t="s">
        <v>2759</v>
      </c>
      <c r="F1103" s="466" t="s">
        <v>2755</v>
      </c>
      <c r="G1103" s="518" t="s">
        <v>3868</v>
      </c>
      <c r="H1103" s="519">
        <v>45113</v>
      </c>
      <c r="I1103" s="488">
        <f t="shared" ref="I1103:I1167" si="42">K1103/1.11</f>
        <v>39589881.081081077</v>
      </c>
      <c r="J1103" s="488">
        <f t="shared" ref="J1103:J1167" si="43">I1103*11%</f>
        <v>4354886.9189189188</v>
      </c>
      <c r="K1103" s="474">
        <v>43944768</v>
      </c>
      <c r="L1103" s="475"/>
    </row>
    <row r="1104" spans="1:12" s="520" customFormat="1" x14ac:dyDescent="0.2">
      <c r="A1104" s="517">
        <v>4</v>
      </c>
      <c r="B1104" s="469" t="s">
        <v>1467</v>
      </c>
      <c r="C1104" s="476" t="s">
        <v>5464</v>
      </c>
      <c r="D1104" s="464" t="s">
        <v>2779</v>
      </c>
      <c r="E1104" s="471" t="s">
        <v>2780</v>
      </c>
      <c r="F1104" s="471" t="s">
        <v>2755</v>
      </c>
      <c r="G1104" s="518" t="s">
        <v>3869</v>
      </c>
      <c r="H1104" s="519">
        <v>45113</v>
      </c>
      <c r="I1104" s="473">
        <f t="shared" si="42"/>
        <v>3398108.1081081079</v>
      </c>
      <c r="J1104" s="473">
        <f t="shared" si="43"/>
        <v>373791.89189189189</v>
      </c>
      <c r="K1104" s="474">
        <v>3771900</v>
      </c>
      <c r="L1104" s="475"/>
    </row>
    <row r="1105" spans="1:12" s="520" customFormat="1" x14ac:dyDescent="0.2">
      <c r="A1105" s="517">
        <v>5</v>
      </c>
      <c r="B1105" s="485" t="s">
        <v>1468</v>
      </c>
      <c r="C1105" s="476" t="s">
        <v>5465</v>
      </c>
      <c r="D1105" s="511" t="s">
        <v>2773</v>
      </c>
      <c r="E1105" s="465" t="s">
        <v>2774</v>
      </c>
      <c r="F1105" s="510" t="s">
        <v>2755</v>
      </c>
      <c r="G1105" s="518" t="s">
        <v>3870</v>
      </c>
      <c r="H1105" s="519">
        <v>45113</v>
      </c>
      <c r="I1105" s="488">
        <f t="shared" si="42"/>
        <v>3955065.315315315</v>
      </c>
      <c r="J1105" s="488">
        <f t="shared" si="43"/>
        <v>435057.18468468467</v>
      </c>
      <c r="K1105" s="474">
        <v>4390122.5</v>
      </c>
      <c r="L1105" s="475"/>
    </row>
    <row r="1106" spans="1:12" s="520" customFormat="1" x14ac:dyDescent="0.2">
      <c r="A1106" s="517">
        <v>6</v>
      </c>
      <c r="B1106" s="469" t="s">
        <v>1469</v>
      </c>
      <c r="C1106" s="476" t="s">
        <v>5466</v>
      </c>
      <c r="D1106" s="725" t="s">
        <v>3302</v>
      </c>
      <c r="E1106" s="708" t="s">
        <v>3303</v>
      </c>
      <c r="F1106" s="727" t="s">
        <v>2873</v>
      </c>
      <c r="G1106" s="518" t="s">
        <v>3871</v>
      </c>
      <c r="H1106" s="519">
        <v>45113</v>
      </c>
      <c r="I1106" s="473">
        <f t="shared" si="42"/>
        <v>3864648.6486486485</v>
      </c>
      <c r="J1106" s="473">
        <f t="shared" si="43"/>
        <v>425111.35135135136</v>
      </c>
      <c r="K1106" s="474">
        <v>4289760</v>
      </c>
      <c r="L1106" s="475"/>
    </row>
    <row r="1107" spans="1:12" s="520" customFormat="1" x14ac:dyDescent="0.2">
      <c r="A1107" s="517">
        <v>7</v>
      </c>
      <c r="B1107" s="485" t="s">
        <v>1470</v>
      </c>
      <c r="C1107" s="476" t="s">
        <v>5467</v>
      </c>
      <c r="D1107" s="487" t="s">
        <v>4931</v>
      </c>
      <c r="E1107" s="503" t="s">
        <v>4940</v>
      </c>
      <c r="F1107" s="504" t="s">
        <v>2808</v>
      </c>
      <c r="G1107" s="518" t="s">
        <v>3872</v>
      </c>
      <c r="H1107" s="519">
        <v>45114</v>
      </c>
      <c r="I1107" s="488">
        <f t="shared" si="42"/>
        <v>28378378.378378376</v>
      </c>
      <c r="J1107" s="488">
        <f t="shared" si="43"/>
        <v>3121621.6216216213</v>
      </c>
      <c r="K1107" s="474">
        <v>31500000</v>
      </c>
      <c r="L1107" s="475"/>
    </row>
    <row r="1108" spans="1:12" s="520" customFormat="1" x14ac:dyDescent="0.2">
      <c r="A1108" s="517">
        <v>8</v>
      </c>
      <c r="B1108" s="469" t="s">
        <v>1471</v>
      </c>
      <c r="C1108" s="476" t="s">
        <v>5468</v>
      </c>
      <c r="D1108" s="464" t="s">
        <v>2758</v>
      </c>
      <c r="E1108" s="708" t="s">
        <v>2759</v>
      </c>
      <c r="F1108" s="466" t="s">
        <v>2755</v>
      </c>
      <c r="G1108" s="518" t="s">
        <v>3874</v>
      </c>
      <c r="H1108" s="519">
        <v>45115</v>
      </c>
      <c r="I1108" s="473">
        <f t="shared" si="42"/>
        <v>3263513.5135135134</v>
      </c>
      <c r="J1108" s="473">
        <f t="shared" si="43"/>
        <v>358986.48648648645</v>
      </c>
      <c r="K1108" s="474">
        <v>3622500</v>
      </c>
      <c r="L1108" s="475"/>
    </row>
    <row r="1109" spans="1:12" s="520" customFormat="1" x14ac:dyDescent="0.2">
      <c r="A1109" s="517">
        <v>9</v>
      </c>
      <c r="B1109" s="485" t="s">
        <v>1472</v>
      </c>
      <c r="C1109" s="476" t="s">
        <v>5469</v>
      </c>
      <c r="D1109" s="487" t="s">
        <v>4931</v>
      </c>
      <c r="E1109" s="503" t="s">
        <v>4940</v>
      </c>
      <c r="F1109" s="504" t="s">
        <v>2808</v>
      </c>
      <c r="G1109" s="518" t="s">
        <v>3875</v>
      </c>
      <c r="H1109" s="519">
        <v>45115</v>
      </c>
      <c r="I1109" s="488">
        <f t="shared" si="42"/>
        <v>6810810.81081081</v>
      </c>
      <c r="J1109" s="488">
        <f t="shared" si="43"/>
        <v>749189.18918918911</v>
      </c>
      <c r="K1109" s="474">
        <v>7560000</v>
      </c>
      <c r="L1109" s="475"/>
    </row>
    <row r="1110" spans="1:12" s="520" customFormat="1" ht="14.25" customHeight="1" x14ac:dyDescent="0.2">
      <c r="A1110" s="517">
        <v>10</v>
      </c>
      <c r="B1110" s="469" t="s">
        <v>1473</v>
      </c>
      <c r="C1110" s="476" t="s">
        <v>5470</v>
      </c>
      <c r="D1110" s="464" t="s">
        <v>2856</v>
      </c>
      <c r="E1110" s="465" t="s">
        <v>2857</v>
      </c>
      <c r="F1110" s="466" t="s">
        <v>2858</v>
      </c>
      <c r="G1110" s="518" t="s">
        <v>3876</v>
      </c>
      <c r="H1110" s="519">
        <v>45115</v>
      </c>
      <c r="I1110" s="473">
        <f t="shared" si="42"/>
        <v>2322972.9729729728</v>
      </c>
      <c r="J1110" s="473">
        <f t="shared" si="43"/>
        <v>255527.02702702701</v>
      </c>
      <c r="K1110" s="474">
        <v>2578500</v>
      </c>
      <c r="L1110" s="475"/>
    </row>
    <row r="1111" spans="1:12" s="520" customFormat="1" ht="14.25" customHeight="1" x14ac:dyDescent="0.2">
      <c r="A1111" s="517">
        <v>11</v>
      </c>
      <c r="B1111" s="485" t="s">
        <v>1474</v>
      </c>
      <c r="C1111" s="476" t="s">
        <v>5471</v>
      </c>
      <c r="D1111" s="464" t="s">
        <v>2783</v>
      </c>
      <c r="E1111" s="465" t="s">
        <v>2784</v>
      </c>
      <c r="F1111" s="466" t="s">
        <v>2785</v>
      </c>
      <c r="G1111" s="518" t="s">
        <v>3877</v>
      </c>
      <c r="H1111" s="519">
        <v>45117</v>
      </c>
      <c r="I1111" s="488">
        <f t="shared" si="42"/>
        <v>4654054.0540540535</v>
      </c>
      <c r="J1111" s="488">
        <f t="shared" si="43"/>
        <v>511945.94594594586</v>
      </c>
      <c r="K1111" s="474">
        <v>5166000</v>
      </c>
      <c r="L1111" s="475"/>
    </row>
    <row r="1112" spans="1:12" s="520" customFormat="1" x14ac:dyDescent="0.2">
      <c r="A1112" s="517">
        <v>12</v>
      </c>
      <c r="B1112" s="469" t="s">
        <v>1475</v>
      </c>
      <c r="C1112" s="476" t="s">
        <v>5472</v>
      </c>
      <c r="D1112" s="464" t="s">
        <v>4915</v>
      </c>
      <c r="E1112" s="471" t="s">
        <v>4916</v>
      </c>
      <c r="F1112" s="471" t="s">
        <v>2823</v>
      </c>
      <c r="G1112" s="518" t="s">
        <v>3878</v>
      </c>
      <c r="H1112" s="519">
        <v>45117</v>
      </c>
      <c r="I1112" s="473">
        <f t="shared" si="42"/>
        <v>19499572.07207207</v>
      </c>
      <c r="J1112" s="473">
        <f t="shared" si="43"/>
        <v>2144952.9279279276</v>
      </c>
      <c r="K1112" s="474">
        <v>21644525</v>
      </c>
      <c r="L1112" s="475"/>
    </row>
    <row r="1113" spans="1:12" s="520" customFormat="1" ht="14.25" customHeight="1" x14ac:dyDescent="0.2">
      <c r="A1113" s="517">
        <v>13</v>
      </c>
      <c r="B1113" s="485" t="s">
        <v>1476</v>
      </c>
      <c r="C1113" s="476" t="s">
        <v>5473</v>
      </c>
      <c r="D1113" s="487" t="s">
        <v>2790</v>
      </c>
      <c r="E1113" s="503" t="s">
        <v>2791</v>
      </c>
      <c r="F1113" s="504" t="s">
        <v>2792</v>
      </c>
      <c r="G1113" s="518" t="s">
        <v>3879</v>
      </c>
      <c r="H1113" s="519">
        <v>45117</v>
      </c>
      <c r="I1113" s="488">
        <f t="shared" si="42"/>
        <v>1636324.3243243243</v>
      </c>
      <c r="J1113" s="488">
        <f t="shared" si="43"/>
        <v>179995.67567567568</v>
      </c>
      <c r="K1113" s="474">
        <v>1816320</v>
      </c>
      <c r="L1113" s="475"/>
    </row>
    <row r="1114" spans="1:12" s="520" customFormat="1" ht="14.25" customHeight="1" x14ac:dyDescent="0.2">
      <c r="A1114" s="517">
        <v>14</v>
      </c>
      <c r="B1114" s="469" t="s">
        <v>1477</v>
      </c>
      <c r="C1114" s="476" t="s">
        <v>5474</v>
      </c>
      <c r="D1114" s="511" t="s">
        <v>2773</v>
      </c>
      <c r="E1114" s="465" t="s">
        <v>2774</v>
      </c>
      <c r="F1114" s="510" t="s">
        <v>2755</v>
      </c>
      <c r="G1114" s="518" t="s">
        <v>3880</v>
      </c>
      <c r="H1114" s="519">
        <v>45118</v>
      </c>
      <c r="I1114" s="473">
        <f t="shared" si="42"/>
        <v>2562378.3783783782</v>
      </c>
      <c r="J1114" s="473">
        <f t="shared" si="43"/>
        <v>281861.6216216216</v>
      </c>
      <c r="K1114" s="474">
        <v>2844240</v>
      </c>
      <c r="L1114" s="475"/>
    </row>
    <row r="1115" spans="1:12" s="520" customFormat="1" x14ac:dyDescent="0.2">
      <c r="A1115" s="517">
        <v>15</v>
      </c>
      <c r="B1115" s="485" t="s">
        <v>1478</v>
      </c>
      <c r="C1115" s="476" t="s">
        <v>5475</v>
      </c>
      <c r="D1115" s="464" t="s">
        <v>2758</v>
      </c>
      <c r="E1115" s="708" t="s">
        <v>2759</v>
      </c>
      <c r="F1115" s="466" t="s">
        <v>2755</v>
      </c>
      <c r="G1115" s="518" t="s">
        <v>3881</v>
      </c>
      <c r="H1115" s="519">
        <v>45118</v>
      </c>
      <c r="I1115" s="488">
        <f t="shared" si="42"/>
        <v>5274162.1621621614</v>
      </c>
      <c r="J1115" s="488">
        <f t="shared" si="43"/>
        <v>580157.83783783775</v>
      </c>
      <c r="K1115" s="474">
        <v>5854320</v>
      </c>
      <c r="L1115" s="475"/>
    </row>
    <row r="1116" spans="1:12" s="520" customFormat="1" x14ac:dyDescent="0.2">
      <c r="A1116" s="517">
        <v>16</v>
      </c>
      <c r="B1116" s="469" t="s">
        <v>1479</v>
      </c>
      <c r="C1116" s="476" t="s">
        <v>5476</v>
      </c>
      <c r="D1116" s="487" t="s">
        <v>4931</v>
      </c>
      <c r="E1116" s="503" t="s">
        <v>4940</v>
      </c>
      <c r="F1116" s="504" t="s">
        <v>2808</v>
      </c>
      <c r="G1116" s="518" t="s">
        <v>3882</v>
      </c>
      <c r="H1116" s="519">
        <v>45118</v>
      </c>
      <c r="I1116" s="473">
        <f t="shared" si="42"/>
        <v>7355675.6756756753</v>
      </c>
      <c r="J1116" s="473">
        <f t="shared" si="43"/>
        <v>809124.32432432426</v>
      </c>
      <c r="K1116" s="474">
        <v>8164800</v>
      </c>
      <c r="L1116" s="475"/>
    </row>
    <row r="1117" spans="1:12" s="520" customFormat="1" x14ac:dyDescent="0.2">
      <c r="A1117" s="517">
        <v>17</v>
      </c>
      <c r="B1117" s="485" t="s">
        <v>1480</v>
      </c>
      <c r="C1117" s="476" t="s">
        <v>5477</v>
      </c>
      <c r="D1117" s="464" t="s">
        <v>4915</v>
      </c>
      <c r="E1117" s="471" t="s">
        <v>4916</v>
      </c>
      <c r="F1117" s="471" t="s">
        <v>2823</v>
      </c>
      <c r="G1117" s="518" t="s">
        <v>3883</v>
      </c>
      <c r="H1117" s="519">
        <v>45119</v>
      </c>
      <c r="I1117" s="488">
        <f t="shared" si="42"/>
        <v>37863896.396396391</v>
      </c>
      <c r="J1117" s="488">
        <f t="shared" si="43"/>
        <v>4165028.6036036029</v>
      </c>
      <c r="K1117" s="474">
        <v>42028925</v>
      </c>
      <c r="L1117" s="475"/>
    </row>
    <row r="1118" spans="1:12" s="520" customFormat="1" x14ac:dyDescent="0.2">
      <c r="A1118" s="517">
        <v>18</v>
      </c>
      <c r="B1118" s="469" t="s">
        <v>1481</v>
      </c>
      <c r="C1118" s="476" t="s">
        <v>5478</v>
      </c>
      <c r="D1118" s="464" t="s">
        <v>2758</v>
      </c>
      <c r="E1118" s="708" t="s">
        <v>2759</v>
      </c>
      <c r="F1118" s="466" t="s">
        <v>2755</v>
      </c>
      <c r="G1118" s="518" t="s">
        <v>3884</v>
      </c>
      <c r="H1118" s="519">
        <v>45119</v>
      </c>
      <c r="I1118" s="473">
        <f t="shared" si="42"/>
        <v>13866183.783783782</v>
      </c>
      <c r="J1118" s="473">
        <f t="shared" si="43"/>
        <v>1525280.2162162161</v>
      </c>
      <c r="K1118" s="474">
        <v>15391464</v>
      </c>
      <c r="L1118" s="475"/>
    </row>
    <row r="1119" spans="1:12" s="520" customFormat="1" x14ac:dyDescent="0.2">
      <c r="A1119" s="517">
        <v>19</v>
      </c>
      <c r="B1119" s="485" t="s">
        <v>1482</v>
      </c>
      <c r="C1119" s="476" t="s">
        <v>5479</v>
      </c>
      <c r="D1119" s="487" t="s">
        <v>4931</v>
      </c>
      <c r="E1119" s="503" t="s">
        <v>4940</v>
      </c>
      <c r="F1119" s="504" t="s">
        <v>2808</v>
      </c>
      <c r="G1119" s="518" t="s">
        <v>3885</v>
      </c>
      <c r="H1119" s="477">
        <v>45121</v>
      </c>
      <c r="I1119" s="488">
        <f t="shared" si="42"/>
        <v>12004054.054054054</v>
      </c>
      <c r="J1119" s="488">
        <f t="shared" si="43"/>
        <v>1320445.9459459458</v>
      </c>
      <c r="K1119" s="474">
        <v>13324500</v>
      </c>
      <c r="L1119" s="475"/>
    </row>
    <row r="1120" spans="1:12" s="520" customFormat="1" x14ac:dyDescent="0.2">
      <c r="A1120" s="517">
        <v>20</v>
      </c>
      <c r="B1120" s="469" t="s">
        <v>1483</v>
      </c>
      <c r="C1120" s="476" t="s">
        <v>5480</v>
      </c>
      <c r="D1120" s="487" t="s">
        <v>2790</v>
      </c>
      <c r="E1120" s="503" t="s">
        <v>2791</v>
      </c>
      <c r="F1120" s="504" t="s">
        <v>2792</v>
      </c>
      <c r="G1120" s="518" t="s">
        <v>3886</v>
      </c>
      <c r="H1120" s="477">
        <v>45121</v>
      </c>
      <c r="I1120" s="473">
        <f t="shared" si="42"/>
        <v>4220972.9729729723</v>
      </c>
      <c r="J1120" s="473">
        <f t="shared" si="43"/>
        <v>464307.02702702698</v>
      </c>
      <c r="K1120" s="474">
        <v>4685280</v>
      </c>
      <c r="L1120" s="475"/>
    </row>
    <row r="1121" spans="1:12" s="520" customFormat="1" x14ac:dyDescent="0.2">
      <c r="A1121" s="517">
        <v>21</v>
      </c>
      <c r="B1121" s="485" t="s">
        <v>1484</v>
      </c>
      <c r="C1121" s="476" t="s">
        <v>5481</v>
      </c>
      <c r="D1121" s="464" t="s">
        <v>4915</v>
      </c>
      <c r="E1121" s="471" t="s">
        <v>4916</v>
      </c>
      <c r="F1121" s="471" t="s">
        <v>2823</v>
      </c>
      <c r="G1121" s="518" t="s">
        <v>3873</v>
      </c>
      <c r="H1121" s="477">
        <v>45114</v>
      </c>
      <c r="I1121" s="488">
        <f t="shared" si="42"/>
        <v>1475675.6756756755</v>
      </c>
      <c r="J1121" s="488">
        <f t="shared" si="43"/>
        <v>162324.32432432432</v>
      </c>
      <c r="K1121" s="474">
        <v>1638000</v>
      </c>
      <c r="L1121" s="475"/>
    </row>
    <row r="1122" spans="1:12" s="520" customFormat="1" x14ac:dyDescent="0.2">
      <c r="A1122" s="517">
        <v>22</v>
      </c>
      <c r="B1122" s="469" t="s">
        <v>1485</v>
      </c>
      <c r="C1122" s="476" t="s">
        <v>5482</v>
      </c>
      <c r="D1122" s="487" t="s">
        <v>4931</v>
      </c>
      <c r="E1122" s="503" t="s">
        <v>4940</v>
      </c>
      <c r="F1122" s="504" t="s">
        <v>2808</v>
      </c>
      <c r="G1122" s="518" t="s">
        <v>3887</v>
      </c>
      <c r="H1122" s="477">
        <v>45122</v>
      </c>
      <c r="I1122" s="473">
        <f t="shared" si="42"/>
        <v>17554864.864864863</v>
      </c>
      <c r="J1122" s="473">
        <f t="shared" si="43"/>
        <v>1931035.1351351349</v>
      </c>
      <c r="K1122" s="474">
        <v>19485900</v>
      </c>
      <c r="L1122" s="475"/>
    </row>
    <row r="1123" spans="1:12" s="520" customFormat="1" x14ac:dyDescent="0.2">
      <c r="A1123" s="517">
        <v>23</v>
      </c>
      <c r="B1123" s="485" t="s">
        <v>1486</v>
      </c>
      <c r="C1123" s="476" t="s">
        <v>5483</v>
      </c>
      <c r="D1123" s="464" t="s">
        <v>2758</v>
      </c>
      <c r="E1123" s="708" t="s">
        <v>2759</v>
      </c>
      <c r="F1123" s="466" t="s">
        <v>2755</v>
      </c>
      <c r="G1123" s="518" t="s">
        <v>3888</v>
      </c>
      <c r="H1123" s="477">
        <v>45122</v>
      </c>
      <c r="I1123" s="488">
        <f t="shared" si="42"/>
        <v>2019891.8918918916</v>
      </c>
      <c r="J1123" s="488">
        <f t="shared" si="43"/>
        <v>222188.10810810808</v>
      </c>
      <c r="K1123" s="474">
        <v>2242080</v>
      </c>
      <c r="L1123" s="475"/>
    </row>
    <row r="1124" spans="1:12" s="520" customFormat="1" x14ac:dyDescent="0.2">
      <c r="A1124" s="517">
        <v>24</v>
      </c>
      <c r="B1124" s="469" t="s">
        <v>1487</v>
      </c>
      <c r="C1124" s="476" t="s">
        <v>5484</v>
      </c>
      <c r="D1124" s="464" t="s">
        <v>2806</v>
      </c>
      <c r="E1124" s="465" t="s">
        <v>2807</v>
      </c>
      <c r="F1124" s="466" t="s">
        <v>2808</v>
      </c>
      <c r="G1124" s="518" t="s">
        <v>3889</v>
      </c>
      <c r="H1124" s="477">
        <v>45122</v>
      </c>
      <c r="I1124" s="473">
        <f t="shared" si="42"/>
        <v>2451891.8918918916</v>
      </c>
      <c r="J1124" s="473">
        <f t="shared" si="43"/>
        <v>269708.10810810811</v>
      </c>
      <c r="K1124" s="474">
        <v>2721600</v>
      </c>
      <c r="L1124" s="475"/>
    </row>
    <row r="1125" spans="1:12" s="520" customFormat="1" x14ac:dyDescent="0.2">
      <c r="A1125" s="517">
        <v>25</v>
      </c>
      <c r="B1125" s="485" t="s">
        <v>1488</v>
      </c>
      <c r="C1125" s="476" t="s">
        <v>5485</v>
      </c>
      <c r="D1125" s="464" t="s">
        <v>2758</v>
      </c>
      <c r="E1125" s="708" t="s">
        <v>2759</v>
      </c>
      <c r="F1125" s="466" t="s">
        <v>2755</v>
      </c>
      <c r="G1125" s="518" t="s">
        <v>3890</v>
      </c>
      <c r="H1125" s="477">
        <v>45124</v>
      </c>
      <c r="I1125" s="488">
        <f t="shared" si="42"/>
        <v>7402972.9729729723</v>
      </c>
      <c r="J1125" s="488">
        <f t="shared" si="43"/>
        <v>814327.02702702698</v>
      </c>
      <c r="K1125" s="474">
        <v>8217300</v>
      </c>
      <c r="L1125" s="475"/>
    </row>
    <row r="1126" spans="1:12" s="521" customFormat="1" x14ac:dyDescent="0.2">
      <c r="A1126" s="517">
        <v>26</v>
      </c>
      <c r="B1126" s="469" t="s">
        <v>1489</v>
      </c>
      <c r="C1126" s="476" t="s">
        <v>5548</v>
      </c>
      <c r="D1126" s="464" t="s">
        <v>2783</v>
      </c>
      <c r="E1126" s="465" t="s">
        <v>2784</v>
      </c>
      <c r="F1126" s="466" t="s">
        <v>2785</v>
      </c>
      <c r="G1126" s="518" t="s">
        <v>5052</v>
      </c>
      <c r="H1126" s="477">
        <v>45127</v>
      </c>
      <c r="I1126" s="473">
        <f t="shared" si="42"/>
        <v>25327702.702702701</v>
      </c>
      <c r="J1126" s="473">
        <f t="shared" si="43"/>
        <v>2786047.297297297</v>
      </c>
      <c r="K1126" s="474">
        <v>28113750</v>
      </c>
      <c r="L1126" s="475"/>
    </row>
    <row r="1127" spans="1:12" s="521" customFormat="1" x14ac:dyDescent="0.2">
      <c r="A1127" s="517">
        <v>27</v>
      </c>
      <c r="B1127" s="485" t="s">
        <v>1490</v>
      </c>
      <c r="C1127" s="476" t="s">
        <v>5549</v>
      </c>
      <c r="D1127" s="464" t="s">
        <v>4915</v>
      </c>
      <c r="E1127" s="471" t="s">
        <v>4916</v>
      </c>
      <c r="F1127" s="471" t="s">
        <v>2823</v>
      </c>
      <c r="G1127" s="518" t="s">
        <v>5053</v>
      </c>
      <c r="H1127" s="477">
        <v>45127</v>
      </c>
      <c r="I1127" s="488">
        <f t="shared" si="42"/>
        <v>7728378.3783783773</v>
      </c>
      <c r="J1127" s="488">
        <f t="shared" si="43"/>
        <v>850121.62162162154</v>
      </c>
      <c r="K1127" s="474">
        <v>8578500</v>
      </c>
      <c r="L1127" s="475"/>
    </row>
    <row r="1128" spans="1:12" s="521" customFormat="1" x14ac:dyDescent="0.2">
      <c r="A1128" s="517">
        <v>28</v>
      </c>
      <c r="B1128" s="469" t="s">
        <v>1491</v>
      </c>
      <c r="C1128" s="476" t="s">
        <v>5550</v>
      </c>
      <c r="D1128" s="464" t="s">
        <v>2758</v>
      </c>
      <c r="E1128" s="708" t="s">
        <v>2759</v>
      </c>
      <c r="F1128" s="466" t="s">
        <v>2755</v>
      </c>
      <c r="G1128" s="518" t="s">
        <v>5054</v>
      </c>
      <c r="H1128" s="477">
        <v>45128</v>
      </c>
      <c r="I1128" s="473">
        <f t="shared" si="42"/>
        <v>3553513.5135135134</v>
      </c>
      <c r="J1128" s="473">
        <f t="shared" si="43"/>
        <v>390886.48648648645</v>
      </c>
      <c r="K1128" s="474">
        <v>3944400</v>
      </c>
      <c r="L1128" s="475"/>
    </row>
    <row r="1129" spans="1:12" s="521" customFormat="1" x14ac:dyDescent="0.2">
      <c r="A1129" s="517">
        <v>29</v>
      </c>
      <c r="B1129" s="485" t="s">
        <v>1492</v>
      </c>
      <c r="C1129" s="476" t="s">
        <v>5551</v>
      </c>
      <c r="D1129" s="487" t="s">
        <v>2790</v>
      </c>
      <c r="E1129" s="503" t="s">
        <v>2791</v>
      </c>
      <c r="F1129" s="504" t="s">
        <v>2792</v>
      </c>
      <c r="G1129" s="518" t="s">
        <v>5055</v>
      </c>
      <c r="H1129" s="477">
        <v>45129</v>
      </c>
      <c r="I1129" s="488">
        <f t="shared" si="42"/>
        <v>5932605.405405405</v>
      </c>
      <c r="J1129" s="488">
        <f t="shared" si="43"/>
        <v>652586.59459459456</v>
      </c>
      <c r="K1129" s="474">
        <v>6585192</v>
      </c>
      <c r="L1129" s="475"/>
    </row>
    <row r="1130" spans="1:12" s="521" customFormat="1" x14ac:dyDescent="0.2">
      <c r="A1130" s="517">
        <v>30</v>
      </c>
      <c r="B1130" s="469" t="s">
        <v>1493</v>
      </c>
      <c r="C1130" s="476" t="s">
        <v>5552</v>
      </c>
      <c r="D1130" s="464" t="s">
        <v>4915</v>
      </c>
      <c r="E1130" s="471" t="s">
        <v>4916</v>
      </c>
      <c r="F1130" s="471" t="s">
        <v>2823</v>
      </c>
      <c r="G1130" s="518" t="s">
        <v>5056</v>
      </c>
      <c r="H1130" s="477">
        <v>45131</v>
      </c>
      <c r="I1130" s="473">
        <f t="shared" si="42"/>
        <v>6470270.2702702694</v>
      </c>
      <c r="J1130" s="473">
        <f t="shared" si="43"/>
        <v>711729.72972972959</v>
      </c>
      <c r="K1130" s="474">
        <v>7182000</v>
      </c>
      <c r="L1130" s="475"/>
    </row>
    <row r="1131" spans="1:12" s="521" customFormat="1" x14ac:dyDescent="0.2">
      <c r="A1131" s="517">
        <v>31</v>
      </c>
      <c r="B1131" s="485" t="s">
        <v>1494</v>
      </c>
      <c r="C1131" s="476" t="s">
        <v>5553</v>
      </c>
      <c r="D1131" s="464" t="s">
        <v>2783</v>
      </c>
      <c r="E1131" s="465" t="s">
        <v>2784</v>
      </c>
      <c r="F1131" s="466" t="s">
        <v>2785</v>
      </c>
      <c r="G1131" s="518" t="s">
        <v>5057</v>
      </c>
      <c r="H1131" s="477">
        <v>45131</v>
      </c>
      <c r="I1131" s="488">
        <f t="shared" si="42"/>
        <v>16633828.828828827</v>
      </c>
      <c r="J1131" s="488">
        <f t="shared" si="43"/>
        <v>1829721.1711711709</v>
      </c>
      <c r="K1131" s="474">
        <v>18463550</v>
      </c>
      <c r="L1131" s="475"/>
    </row>
    <row r="1132" spans="1:12" s="521" customFormat="1" x14ac:dyDescent="0.2">
      <c r="A1132" s="517">
        <v>32</v>
      </c>
      <c r="B1132" s="469" t="s">
        <v>1495</v>
      </c>
      <c r="C1132" s="476" t="s">
        <v>5554</v>
      </c>
      <c r="D1132" s="487" t="s">
        <v>4931</v>
      </c>
      <c r="E1132" s="503" t="s">
        <v>4940</v>
      </c>
      <c r="F1132" s="504" t="s">
        <v>2808</v>
      </c>
      <c r="G1132" s="518" t="s">
        <v>5058</v>
      </c>
      <c r="H1132" s="477">
        <v>45131</v>
      </c>
      <c r="I1132" s="473">
        <f t="shared" si="42"/>
        <v>6461756.7567567565</v>
      </c>
      <c r="J1132" s="473">
        <f t="shared" si="43"/>
        <v>710793.2432432432</v>
      </c>
      <c r="K1132" s="474">
        <v>7172550</v>
      </c>
      <c r="L1132" s="475"/>
    </row>
    <row r="1133" spans="1:12" s="521" customFormat="1" x14ac:dyDescent="0.2">
      <c r="A1133" s="517">
        <v>33</v>
      </c>
      <c r="B1133" s="485" t="s">
        <v>1496</v>
      </c>
      <c r="C1133" s="476" t="s">
        <v>5555</v>
      </c>
      <c r="D1133" s="464" t="s">
        <v>2758</v>
      </c>
      <c r="E1133" s="708" t="s">
        <v>2759</v>
      </c>
      <c r="F1133" s="466" t="s">
        <v>2755</v>
      </c>
      <c r="G1133" s="518" t="s">
        <v>5059</v>
      </c>
      <c r="H1133" s="477">
        <v>45131</v>
      </c>
      <c r="I1133" s="488">
        <f t="shared" si="42"/>
        <v>23597199.999999996</v>
      </c>
      <c r="J1133" s="488">
        <f t="shared" si="43"/>
        <v>2595691.9999999995</v>
      </c>
      <c r="K1133" s="474">
        <v>26192892</v>
      </c>
      <c r="L1133" s="478"/>
    </row>
    <row r="1134" spans="1:12" s="521" customFormat="1" x14ac:dyDescent="0.2">
      <c r="A1134" s="517">
        <v>34</v>
      </c>
      <c r="B1134" s="469" t="s">
        <v>1497</v>
      </c>
      <c r="C1134" s="476" t="s">
        <v>5556</v>
      </c>
      <c r="D1134" s="464" t="s">
        <v>2758</v>
      </c>
      <c r="E1134" s="708" t="s">
        <v>2759</v>
      </c>
      <c r="F1134" s="466" t="s">
        <v>2755</v>
      </c>
      <c r="G1134" s="518" t="s">
        <v>5060</v>
      </c>
      <c r="H1134" s="477">
        <v>45132</v>
      </c>
      <c r="I1134" s="473">
        <f t="shared" si="42"/>
        <v>8887524.3243243229</v>
      </c>
      <c r="J1134" s="473">
        <f t="shared" si="43"/>
        <v>977627.67567567551</v>
      </c>
      <c r="K1134" s="474">
        <v>9865152</v>
      </c>
      <c r="L1134" s="475"/>
    </row>
    <row r="1135" spans="1:12" s="521" customFormat="1" x14ac:dyDescent="0.2">
      <c r="A1135" s="517">
        <v>35</v>
      </c>
      <c r="B1135" s="485" t="s">
        <v>1498</v>
      </c>
      <c r="C1135" s="476" t="s">
        <v>5557</v>
      </c>
      <c r="D1135" s="464" t="s">
        <v>2806</v>
      </c>
      <c r="E1135" s="465" t="s">
        <v>2807</v>
      </c>
      <c r="F1135" s="466" t="s">
        <v>2808</v>
      </c>
      <c r="G1135" s="518" t="s">
        <v>5061</v>
      </c>
      <c r="H1135" s="477">
        <v>45133</v>
      </c>
      <c r="I1135" s="488">
        <f t="shared" si="42"/>
        <v>8661081.0810810812</v>
      </c>
      <c r="J1135" s="488">
        <f t="shared" si="43"/>
        <v>952718.91891891893</v>
      </c>
      <c r="K1135" s="474">
        <v>9613800</v>
      </c>
      <c r="L1135" s="475"/>
    </row>
    <row r="1136" spans="1:12" s="521" customFormat="1" x14ac:dyDescent="0.2">
      <c r="A1136" s="517">
        <v>36</v>
      </c>
      <c r="B1136" s="469" t="s">
        <v>1499</v>
      </c>
      <c r="C1136" s="476" t="s">
        <v>5562</v>
      </c>
      <c r="D1136" s="464" t="s">
        <v>2758</v>
      </c>
      <c r="E1136" s="708" t="s">
        <v>2759</v>
      </c>
      <c r="F1136" s="466" t="s">
        <v>2755</v>
      </c>
      <c r="G1136" s="518" t="s">
        <v>5062</v>
      </c>
      <c r="H1136" s="477">
        <v>45134</v>
      </c>
      <c r="I1136" s="473">
        <f t="shared" si="42"/>
        <v>1720648.6486486485</v>
      </c>
      <c r="J1136" s="473">
        <f t="shared" si="43"/>
        <v>189271.35135135133</v>
      </c>
      <c r="K1136" s="474">
        <v>1909920</v>
      </c>
      <c r="L1136" s="475"/>
    </row>
    <row r="1137" spans="1:12" s="521" customFormat="1" x14ac:dyDescent="0.2">
      <c r="A1137" s="517">
        <v>37</v>
      </c>
      <c r="B1137" s="485" t="s">
        <v>1500</v>
      </c>
      <c r="C1137" s="476" t="s">
        <v>5563</v>
      </c>
      <c r="D1137" s="464" t="s">
        <v>2783</v>
      </c>
      <c r="E1137" s="465" t="s">
        <v>2784</v>
      </c>
      <c r="F1137" s="466" t="s">
        <v>2785</v>
      </c>
      <c r="G1137" s="518" t="s">
        <v>5063</v>
      </c>
      <c r="H1137" s="477">
        <v>45135</v>
      </c>
      <c r="I1137" s="488">
        <f t="shared" si="42"/>
        <v>1668648.6486486485</v>
      </c>
      <c r="J1137" s="488">
        <f t="shared" si="43"/>
        <v>183551.35135135133</v>
      </c>
      <c r="K1137" s="474">
        <v>1852200</v>
      </c>
      <c r="L1137" s="475"/>
    </row>
    <row r="1138" spans="1:12" s="521" customFormat="1" x14ac:dyDescent="0.2">
      <c r="A1138" s="517">
        <v>38</v>
      </c>
      <c r="B1138" s="469" t="s">
        <v>1501</v>
      </c>
      <c r="C1138" s="476" t="s">
        <v>5564</v>
      </c>
      <c r="D1138" s="487" t="s">
        <v>2790</v>
      </c>
      <c r="E1138" s="503" t="s">
        <v>2791</v>
      </c>
      <c r="F1138" s="504" t="s">
        <v>2792</v>
      </c>
      <c r="G1138" s="518" t="s">
        <v>5064</v>
      </c>
      <c r="H1138" s="477">
        <v>45135</v>
      </c>
      <c r="I1138" s="473">
        <f t="shared" si="42"/>
        <v>782770.27027027018</v>
      </c>
      <c r="J1138" s="473">
        <f t="shared" si="43"/>
        <v>86104.729729729719</v>
      </c>
      <c r="K1138" s="474">
        <v>868875</v>
      </c>
      <c r="L1138" s="475"/>
    </row>
    <row r="1139" spans="1:12" s="521" customFormat="1" x14ac:dyDescent="0.2">
      <c r="A1139" s="517">
        <v>39</v>
      </c>
      <c r="B1139" s="485" t="s">
        <v>1502</v>
      </c>
      <c r="C1139" s="476" t="s">
        <v>5565</v>
      </c>
      <c r="D1139" s="464" t="s">
        <v>2856</v>
      </c>
      <c r="E1139" s="465" t="s">
        <v>2857</v>
      </c>
      <c r="F1139" s="466" t="s">
        <v>2858</v>
      </c>
      <c r="G1139" s="518" t="s">
        <v>5065</v>
      </c>
      <c r="H1139" s="477">
        <v>45135</v>
      </c>
      <c r="I1139" s="488">
        <f t="shared" si="42"/>
        <v>220135.13513513512</v>
      </c>
      <c r="J1139" s="488">
        <f t="shared" si="43"/>
        <v>24214.864864864863</v>
      </c>
      <c r="K1139" s="474">
        <v>244350</v>
      </c>
      <c r="L1139" s="475"/>
    </row>
    <row r="1140" spans="1:12" s="521" customFormat="1" x14ac:dyDescent="0.2">
      <c r="A1140" s="517">
        <v>40</v>
      </c>
      <c r="B1140" s="469" t="s">
        <v>1503</v>
      </c>
      <c r="C1140" s="476" t="s">
        <v>5566</v>
      </c>
      <c r="D1140" s="464" t="s">
        <v>2849</v>
      </c>
      <c r="E1140" s="471" t="s">
        <v>2850</v>
      </c>
      <c r="F1140" s="471" t="s">
        <v>2851</v>
      </c>
      <c r="G1140" s="518" t="s">
        <v>5066</v>
      </c>
      <c r="H1140" s="477">
        <v>45135</v>
      </c>
      <c r="I1140" s="473">
        <f t="shared" si="42"/>
        <v>1666459.4594594594</v>
      </c>
      <c r="J1140" s="473">
        <f t="shared" si="43"/>
        <v>183310.54054054053</v>
      </c>
      <c r="K1140" s="474">
        <v>1849770</v>
      </c>
      <c r="L1140" s="475"/>
    </row>
    <row r="1141" spans="1:12" s="521" customFormat="1" x14ac:dyDescent="0.2">
      <c r="A1141" s="517">
        <v>41</v>
      </c>
      <c r="B1141" s="485" t="s">
        <v>1504</v>
      </c>
      <c r="C1141" s="476" t="s">
        <v>5567</v>
      </c>
      <c r="D1141" s="464" t="s">
        <v>2849</v>
      </c>
      <c r="E1141" s="471" t="s">
        <v>2850</v>
      </c>
      <c r="F1141" s="471" t="s">
        <v>2851</v>
      </c>
      <c r="G1141" s="518" t="s">
        <v>5067</v>
      </c>
      <c r="H1141" s="477">
        <v>45135</v>
      </c>
      <c r="I1141" s="488">
        <f t="shared" si="42"/>
        <v>2773477.4774774774</v>
      </c>
      <c r="J1141" s="488">
        <f t="shared" si="43"/>
        <v>305082.52252252254</v>
      </c>
      <c r="K1141" s="474">
        <v>3078560</v>
      </c>
      <c r="L1141" s="475"/>
    </row>
    <row r="1142" spans="1:12" s="521" customFormat="1" x14ac:dyDescent="0.2">
      <c r="A1142" s="517">
        <v>42</v>
      </c>
      <c r="B1142" s="469" t="s">
        <v>1505</v>
      </c>
      <c r="C1142" s="476" t="s">
        <v>5583</v>
      </c>
      <c r="D1142" s="464" t="s">
        <v>2783</v>
      </c>
      <c r="E1142" s="465" t="s">
        <v>2784</v>
      </c>
      <c r="F1142" s="466" t="s">
        <v>2785</v>
      </c>
      <c r="G1142" s="518" t="s">
        <v>5068</v>
      </c>
      <c r="H1142" s="477">
        <v>45136</v>
      </c>
      <c r="I1142" s="473">
        <f t="shared" si="42"/>
        <v>8275135.1351351347</v>
      </c>
      <c r="J1142" s="473">
        <f t="shared" si="43"/>
        <v>910264.86486486485</v>
      </c>
      <c r="K1142" s="474">
        <v>9185400</v>
      </c>
      <c r="L1142" s="475"/>
    </row>
    <row r="1143" spans="1:12" s="521" customFormat="1" x14ac:dyDescent="0.2">
      <c r="A1143" s="517">
        <v>43</v>
      </c>
      <c r="B1143" s="485" t="s">
        <v>1506</v>
      </c>
      <c r="C1143" s="476" t="s">
        <v>5593</v>
      </c>
      <c r="D1143" s="464" t="s">
        <v>2779</v>
      </c>
      <c r="E1143" s="471" t="s">
        <v>2780</v>
      </c>
      <c r="F1143" s="471" t="s">
        <v>2755</v>
      </c>
      <c r="G1143" s="518" t="s">
        <v>5069</v>
      </c>
      <c r="H1143" s="477">
        <v>45138</v>
      </c>
      <c r="I1143" s="488">
        <f t="shared" si="42"/>
        <v>655135.13513513503</v>
      </c>
      <c r="J1143" s="488">
        <f t="shared" si="43"/>
        <v>72064.864864864852</v>
      </c>
      <c r="K1143" s="474">
        <v>727200</v>
      </c>
      <c r="L1143" s="475"/>
    </row>
    <row r="1144" spans="1:12" s="521" customFormat="1" x14ac:dyDescent="0.2">
      <c r="A1144" s="517">
        <v>44</v>
      </c>
      <c r="B1144" s="469" t="s">
        <v>1507</v>
      </c>
      <c r="C1144" s="476" t="s">
        <v>5597</v>
      </c>
      <c r="D1144" s="464" t="s">
        <v>2758</v>
      </c>
      <c r="E1144" s="708" t="s">
        <v>2759</v>
      </c>
      <c r="F1144" s="466" t="s">
        <v>2755</v>
      </c>
      <c r="G1144" s="518" t="s">
        <v>5070</v>
      </c>
      <c r="H1144" s="477">
        <v>45138</v>
      </c>
      <c r="I1144" s="473">
        <f t="shared" si="42"/>
        <v>2827848.6486486485</v>
      </c>
      <c r="J1144" s="473">
        <f t="shared" si="43"/>
        <v>311063.35135135136</v>
      </c>
      <c r="K1144" s="474">
        <v>3138912</v>
      </c>
      <c r="L1144" s="475"/>
    </row>
    <row r="1145" spans="1:12" s="521" customFormat="1" x14ac:dyDescent="0.2">
      <c r="A1145" s="517">
        <v>45</v>
      </c>
      <c r="B1145" s="469" t="s">
        <v>5685</v>
      </c>
      <c r="C1145" s="476" t="s">
        <v>5681</v>
      </c>
      <c r="D1145" s="464" t="s">
        <v>2758</v>
      </c>
      <c r="E1145" s="708" t="s">
        <v>2759</v>
      </c>
      <c r="F1145" s="466" t="s">
        <v>2755</v>
      </c>
      <c r="G1145" s="518" t="s">
        <v>5071</v>
      </c>
      <c r="H1145" s="477">
        <v>45129</v>
      </c>
      <c r="I1145" s="473">
        <f t="shared" ref="I1145" si="44">K1145/1.11</f>
        <v>2996172.9729729728</v>
      </c>
      <c r="J1145" s="473">
        <f t="shared" ref="J1145" si="45">I1145*11%</f>
        <v>329579.02702702698</v>
      </c>
      <c r="K1145" s="474">
        <v>3325752</v>
      </c>
      <c r="L1145" s="475"/>
    </row>
    <row r="1146" spans="1:12" x14ac:dyDescent="0.2">
      <c r="A1146" s="305">
        <v>46</v>
      </c>
      <c r="B1146" s="485" t="s">
        <v>1508</v>
      </c>
      <c r="C1146" s="476" t="s">
        <v>5675</v>
      </c>
      <c r="D1146" s="464"/>
      <c r="E1146" s="465" t="s">
        <v>2947</v>
      </c>
      <c r="F1146" s="466" t="s">
        <v>2823</v>
      </c>
      <c r="G1146" s="750"/>
      <c r="H1146" s="477">
        <v>45112</v>
      </c>
      <c r="I1146" s="488">
        <f t="shared" si="42"/>
        <v>9432729.7297297288</v>
      </c>
      <c r="J1146" s="488">
        <f t="shared" si="43"/>
        <v>1037600.2702702702</v>
      </c>
      <c r="K1146" s="474">
        <f>1368000+1699056+7403274</f>
        <v>10470330</v>
      </c>
      <c r="L1146" s="475"/>
    </row>
    <row r="1147" spans="1:12" x14ac:dyDescent="0.2">
      <c r="A1147" s="517">
        <v>47</v>
      </c>
      <c r="B1147" s="469" t="s">
        <v>1509</v>
      </c>
      <c r="C1147" s="476" t="s">
        <v>5598</v>
      </c>
      <c r="D1147" s="464"/>
      <c r="E1147" s="465" t="s">
        <v>2898</v>
      </c>
      <c r="F1147" s="466" t="s">
        <v>2823</v>
      </c>
      <c r="G1147" s="750"/>
      <c r="H1147" s="477">
        <v>45111</v>
      </c>
      <c r="I1147" s="473">
        <f t="shared" si="42"/>
        <v>15732431.53153153</v>
      </c>
      <c r="J1147" s="473">
        <f t="shared" si="43"/>
        <v>1730567.4684684682</v>
      </c>
      <c r="K1147" s="474">
        <f>6207300+7150878+4104821</f>
        <v>17462999</v>
      </c>
      <c r="L1147" s="475"/>
    </row>
    <row r="1148" spans="1:12" x14ac:dyDescent="0.2">
      <c r="A1148" s="305">
        <v>48</v>
      </c>
      <c r="B1148" s="485" t="s">
        <v>1510</v>
      </c>
      <c r="C1148" s="476" t="s">
        <v>5639</v>
      </c>
      <c r="D1148" s="464"/>
      <c r="E1148" s="465" t="s">
        <v>2898</v>
      </c>
      <c r="F1148" s="466" t="s">
        <v>2823</v>
      </c>
      <c r="G1148" s="750"/>
      <c r="H1148" s="477">
        <v>45115</v>
      </c>
      <c r="I1148" s="488">
        <f t="shared" si="42"/>
        <v>27069318.918918915</v>
      </c>
      <c r="J1148" s="488">
        <f t="shared" si="43"/>
        <v>2977625.0810810807</v>
      </c>
      <c r="K1148" s="474">
        <f>13389300+4022604+12635040</f>
        <v>30046944</v>
      </c>
      <c r="L1148" s="475"/>
    </row>
    <row r="1149" spans="1:12" x14ac:dyDescent="0.2">
      <c r="A1149" s="517">
        <v>49</v>
      </c>
      <c r="B1149" s="469" t="s">
        <v>1511</v>
      </c>
      <c r="C1149" s="476" t="s">
        <v>5599</v>
      </c>
      <c r="D1149" s="464"/>
      <c r="E1149" s="465" t="s">
        <v>4319</v>
      </c>
      <c r="F1149" s="466" t="s">
        <v>3001</v>
      </c>
      <c r="G1149" s="750"/>
      <c r="H1149" s="477">
        <v>45121</v>
      </c>
      <c r="I1149" s="473">
        <f t="shared" si="42"/>
        <v>1852654.054054054</v>
      </c>
      <c r="J1149" s="473">
        <f t="shared" si="43"/>
        <v>203791.94594594595</v>
      </c>
      <c r="K1149" s="474">
        <v>2056446</v>
      </c>
      <c r="L1149" s="475"/>
    </row>
    <row r="1150" spans="1:12" x14ac:dyDescent="0.2">
      <c r="A1150" s="305">
        <v>50</v>
      </c>
      <c r="B1150" s="485" t="s">
        <v>1512</v>
      </c>
      <c r="C1150" s="476" t="s">
        <v>5640</v>
      </c>
      <c r="D1150" s="464"/>
      <c r="E1150" s="465" t="s">
        <v>2937</v>
      </c>
      <c r="F1150" s="466" t="s">
        <v>2823</v>
      </c>
      <c r="G1150" s="750"/>
      <c r="H1150" s="477">
        <v>45115</v>
      </c>
      <c r="I1150" s="488">
        <f t="shared" si="42"/>
        <v>32026759.459459458</v>
      </c>
      <c r="J1150" s="488">
        <f t="shared" si="43"/>
        <v>3522943.5405405401</v>
      </c>
      <c r="K1150" s="474">
        <f>14089887+8273664+13186152</f>
        <v>35549703</v>
      </c>
      <c r="L1150" s="475"/>
    </row>
    <row r="1151" spans="1:12" x14ac:dyDescent="0.2">
      <c r="A1151" s="517">
        <v>51</v>
      </c>
      <c r="B1151" s="469" t="s">
        <v>1513</v>
      </c>
      <c r="C1151" s="476" t="s">
        <v>5686</v>
      </c>
      <c r="D1151" s="464"/>
      <c r="E1151" s="465" t="s">
        <v>3011</v>
      </c>
      <c r="F1151" s="466" t="s">
        <v>2823</v>
      </c>
      <c r="G1151" s="750"/>
      <c r="H1151" s="477">
        <v>45120</v>
      </c>
      <c r="I1151" s="473">
        <f t="shared" si="42"/>
        <v>15616516.216216214</v>
      </c>
      <c r="J1151" s="473">
        <f t="shared" si="43"/>
        <v>1717816.7837837834</v>
      </c>
      <c r="K1151" s="474">
        <f>4454784+5796045+7083504</f>
        <v>17334333</v>
      </c>
      <c r="L1151" s="475"/>
    </row>
    <row r="1152" spans="1:12" x14ac:dyDescent="0.2">
      <c r="A1152" s="305">
        <v>52</v>
      </c>
      <c r="B1152" s="485" t="s">
        <v>1514</v>
      </c>
      <c r="C1152" s="476" t="s">
        <v>5600</v>
      </c>
      <c r="D1152" s="464"/>
      <c r="E1152" s="465" t="s">
        <v>5601</v>
      </c>
      <c r="F1152" s="466" t="s">
        <v>3001</v>
      </c>
      <c r="G1152" s="750"/>
      <c r="H1152" s="477">
        <v>45121</v>
      </c>
      <c r="I1152" s="488">
        <f t="shared" si="42"/>
        <v>654961.26126126118</v>
      </c>
      <c r="J1152" s="488">
        <f t="shared" si="43"/>
        <v>72045.738738738728</v>
      </c>
      <c r="K1152" s="474">
        <v>727007</v>
      </c>
      <c r="L1152" s="475"/>
    </row>
    <row r="1153" spans="1:12" x14ac:dyDescent="0.2">
      <c r="A1153" s="517">
        <v>53</v>
      </c>
      <c r="B1153" s="469" t="s">
        <v>1515</v>
      </c>
      <c r="C1153" s="476" t="s">
        <v>5631</v>
      </c>
      <c r="D1153" s="464"/>
      <c r="E1153" s="465" t="s">
        <v>4294</v>
      </c>
      <c r="F1153" s="466" t="s">
        <v>3018</v>
      </c>
      <c r="G1153" s="750"/>
      <c r="H1153" s="477">
        <v>45118</v>
      </c>
      <c r="I1153" s="473">
        <f t="shared" si="42"/>
        <v>7819819.8198198192</v>
      </c>
      <c r="J1153" s="473">
        <f t="shared" si="43"/>
        <v>860180.18018018012</v>
      </c>
      <c r="K1153" s="474">
        <f>1030000+7650000</f>
        <v>8680000</v>
      </c>
      <c r="L1153" s="475"/>
    </row>
    <row r="1154" spans="1:12" x14ac:dyDescent="0.2">
      <c r="A1154" s="305">
        <v>54</v>
      </c>
      <c r="B1154" s="485" t="s">
        <v>1516</v>
      </c>
      <c r="C1154" s="476" t="s">
        <v>5807</v>
      </c>
      <c r="D1154" s="464"/>
      <c r="E1154" s="471" t="s">
        <v>3017</v>
      </c>
      <c r="F1154" s="471" t="s">
        <v>3018</v>
      </c>
      <c r="G1154" s="750"/>
      <c r="H1154" s="472">
        <v>45122</v>
      </c>
      <c r="I1154" s="488">
        <f t="shared" si="42"/>
        <v>4144144.1441441439</v>
      </c>
      <c r="J1154" s="488">
        <f t="shared" si="43"/>
        <v>455855.85585585586</v>
      </c>
      <c r="K1154" s="474">
        <f>3340000+1260000</f>
        <v>4600000</v>
      </c>
      <c r="L1154" s="475"/>
    </row>
    <row r="1155" spans="1:12" x14ac:dyDescent="0.2">
      <c r="A1155" s="517">
        <v>55</v>
      </c>
      <c r="B1155" s="469" t="s">
        <v>1517</v>
      </c>
      <c r="C1155" s="476" t="s">
        <v>5657</v>
      </c>
      <c r="D1155" s="464"/>
      <c r="E1155" s="465" t="s">
        <v>2939</v>
      </c>
      <c r="F1155" s="466" t="s">
        <v>2940</v>
      </c>
      <c r="G1155" s="750"/>
      <c r="H1155" s="477">
        <v>45114</v>
      </c>
      <c r="I1155" s="473">
        <f t="shared" si="42"/>
        <v>4825890.0900900895</v>
      </c>
      <c r="J1155" s="473">
        <f t="shared" si="43"/>
        <v>530847.90990990982</v>
      </c>
      <c r="K1155" s="474">
        <f>1911438+2710000+735300</f>
        <v>5356738</v>
      </c>
      <c r="L1155" s="475"/>
    </row>
    <row r="1156" spans="1:12" x14ac:dyDescent="0.2">
      <c r="A1156" s="305">
        <v>56</v>
      </c>
      <c r="B1156" s="485" t="s">
        <v>1518</v>
      </c>
      <c r="C1156" s="476" t="s">
        <v>5635</v>
      </c>
      <c r="D1156" s="464"/>
      <c r="E1156" s="465" t="s">
        <v>2894</v>
      </c>
      <c r="F1156" s="466" t="s">
        <v>2851</v>
      </c>
      <c r="G1156" s="750"/>
      <c r="H1156" s="477">
        <v>45114</v>
      </c>
      <c r="I1156" s="488">
        <f t="shared" si="42"/>
        <v>38222594.59459459</v>
      </c>
      <c r="J1156" s="488">
        <f t="shared" si="43"/>
        <v>4204485.405405405</v>
      </c>
      <c r="K1156" s="474">
        <f>13370832+9000000+20056248</f>
        <v>42427080</v>
      </c>
      <c r="L1156" s="475"/>
    </row>
    <row r="1157" spans="1:12" x14ac:dyDescent="0.2">
      <c r="A1157" s="517">
        <v>57</v>
      </c>
      <c r="B1157" s="469" t="s">
        <v>1519</v>
      </c>
      <c r="C1157" s="476" t="s">
        <v>5620</v>
      </c>
      <c r="D1157" s="464"/>
      <c r="E1157" s="479" t="s">
        <v>3129</v>
      </c>
      <c r="F1157" s="466" t="s">
        <v>3108</v>
      </c>
      <c r="G1157" s="750"/>
      <c r="H1157" s="477">
        <v>45110</v>
      </c>
      <c r="I1157" s="473">
        <f t="shared" si="42"/>
        <v>11352706.306306304</v>
      </c>
      <c r="J1157" s="473">
        <f t="shared" si="43"/>
        <v>1248797.6936936935</v>
      </c>
      <c r="K1157" s="474">
        <f>3344000+3200000+6057504</f>
        <v>12601504</v>
      </c>
      <c r="L1157" s="475"/>
    </row>
    <row r="1158" spans="1:12" x14ac:dyDescent="0.2">
      <c r="A1158" s="305">
        <v>58</v>
      </c>
      <c r="B1158" s="485" t="s">
        <v>1520</v>
      </c>
      <c r="C1158" s="476" t="s">
        <v>5793</v>
      </c>
      <c r="D1158" s="464"/>
      <c r="E1158" s="465" t="s">
        <v>2894</v>
      </c>
      <c r="F1158" s="466" t="s">
        <v>3061</v>
      </c>
      <c r="G1158" s="750"/>
      <c r="H1158" s="477">
        <v>45110</v>
      </c>
      <c r="I1158" s="488">
        <f t="shared" si="42"/>
        <v>12930932.432432432</v>
      </c>
      <c r="J1158" s="488">
        <f t="shared" si="43"/>
        <v>1422402.5675675676</v>
      </c>
      <c r="K1158" s="474">
        <f>11433335+2920000</f>
        <v>14353335</v>
      </c>
      <c r="L1158" s="475"/>
    </row>
    <row r="1159" spans="1:12" x14ac:dyDescent="0.2">
      <c r="A1159" s="517">
        <v>59</v>
      </c>
      <c r="B1159" s="469" t="s">
        <v>1521</v>
      </c>
      <c r="C1159" s="476" t="s">
        <v>5694</v>
      </c>
      <c r="D1159" s="464"/>
      <c r="E1159" s="465" t="s">
        <v>3527</v>
      </c>
      <c r="F1159" s="466" t="s">
        <v>2922</v>
      </c>
      <c r="G1159" s="750"/>
      <c r="H1159" s="477">
        <v>45110</v>
      </c>
      <c r="I1159" s="473">
        <f t="shared" si="42"/>
        <v>8362037.8378378367</v>
      </c>
      <c r="J1159" s="473">
        <f t="shared" si="43"/>
        <v>919824.16216216201</v>
      </c>
      <c r="K1159" s="474">
        <f>3960000+3650508+1671354</f>
        <v>9281862</v>
      </c>
      <c r="L1159" s="475"/>
    </row>
    <row r="1160" spans="1:12" x14ac:dyDescent="0.2">
      <c r="A1160" s="305">
        <v>60</v>
      </c>
      <c r="B1160" s="485" t="s">
        <v>1522</v>
      </c>
      <c r="C1160" s="476" t="s">
        <v>5623</v>
      </c>
      <c r="D1160" s="464"/>
      <c r="E1160" s="465" t="s">
        <v>2907</v>
      </c>
      <c r="F1160" s="466" t="s">
        <v>2858</v>
      </c>
      <c r="G1160" s="750"/>
      <c r="H1160" s="477">
        <v>45110</v>
      </c>
      <c r="I1160" s="488">
        <f t="shared" si="42"/>
        <v>17570446.846846845</v>
      </c>
      <c r="J1160" s="488">
        <f t="shared" si="43"/>
        <v>1932749.1531531529</v>
      </c>
      <c r="K1160" s="474">
        <f>3040000+3211380+13251816</f>
        <v>19503196</v>
      </c>
      <c r="L1160" s="475"/>
    </row>
    <row r="1161" spans="1:12" x14ac:dyDescent="0.2">
      <c r="A1161" s="517">
        <v>61</v>
      </c>
      <c r="B1161" s="469" t="s">
        <v>1523</v>
      </c>
      <c r="C1161" s="476" t="s">
        <v>5661</v>
      </c>
      <c r="D1161" s="464"/>
      <c r="E1161" s="465" t="s">
        <v>2993</v>
      </c>
      <c r="F1161" s="466" t="s">
        <v>2994</v>
      </c>
      <c r="G1161" s="750"/>
      <c r="H1161" s="477">
        <v>45110</v>
      </c>
      <c r="I1161" s="473">
        <f t="shared" si="42"/>
        <v>9613953.1531531531</v>
      </c>
      <c r="J1161" s="473">
        <f t="shared" si="43"/>
        <v>1057534.8468468469</v>
      </c>
      <c r="K1161" s="474">
        <f>1320000+6451488+2900000</f>
        <v>10671488</v>
      </c>
      <c r="L1161" s="475"/>
    </row>
    <row r="1162" spans="1:12" x14ac:dyDescent="0.2">
      <c r="A1162" s="305">
        <v>62</v>
      </c>
      <c r="B1162" s="485" t="s">
        <v>1524</v>
      </c>
      <c r="C1162" s="476" t="s">
        <v>5805</v>
      </c>
      <c r="D1162" s="464"/>
      <c r="E1162" s="465" t="s">
        <v>3122</v>
      </c>
      <c r="F1162" s="466" t="s">
        <v>2946</v>
      </c>
      <c r="G1162" s="750"/>
      <c r="H1162" s="477">
        <v>45110</v>
      </c>
      <c r="I1162" s="488">
        <f t="shared" si="42"/>
        <v>1939478.3783783782</v>
      </c>
      <c r="J1162" s="488">
        <f t="shared" si="43"/>
        <v>213342.6216216216</v>
      </c>
      <c r="K1162" s="474">
        <f>192802+92340+1867679</f>
        <v>2152821</v>
      </c>
      <c r="L1162" s="475"/>
    </row>
    <row r="1163" spans="1:12" x14ac:dyDescent="0.2">
      <c r="A1163" s="517">
        <v>63</v>
      </c>
      <c r="B1163" s="469" t="s">
        <v>1525</v>
      </c>
      <c r="C1163" s="476" t="s">
        <v>5612</v>
      </c>
      <c r="D1163" s="464"/>
      <c r="E1163" s="465" t="s">
        <v>2907</v>
      </c>
      <c r="F1163" s="466" t="s">
        <v>2908</v>
      </c>
      <c r="G1163" s="750"/>
      <c r="H1163" s="477">
        <v>45110</v>
      </c>
      <c r="I1163" s="473">
        <f t="shared" si="42"/>
        <v>23129863.063063063</v>
      </c>
      <c r="J1163" s="473">
        <f t="shared" si="43"/>
        <v>2544284.9369369368</v>
      </c>
      <c r="K1163" s="474">
        <f>7408233+3850578+14415337</f>
        <v>25674148</v>
      </c>
      <c r="L1163" s="475"/>
    </row>
    <row r="1164" spans="1:12" x14ac:dyDescent="0.2">
      <c r="A1164" s="305">
        <v>64</v>
      </c>
      <c r="B1164" s="485" t="s">
        <v>1526</v>
      </c>
      <c r="C1164" s="476" t="s">
        <v>5616</v>
      </c>
      <c r="D1164" s="464"/>
      <c r="E1164" s="465" t="s">
        <v>2929</v>
      </c>
      <c r="F1164" s="466" t="s">
        <v>2886</v>
      </c>
      <c r="G1164" s="750"/>
      <c r="H1164" s="477">
        <v>45110</v>
      </c>
      <c r="I1164" s="488">
        <f t="shared" si="42"/>
        <v>4252606.3063063063</v>
      </c>
      <c r="J1164" s="488">
        <f t="shared" si="43"/>
        <v>467786.69369369367</v>
      </c>
      <c r="K1164" s="474">
        <f>2791513+615600+1313280</f>
        <v>4720393</v>
      </c>
      <c r="L1164" s="475"/>
    </row>
    <row r="1165" spans="1:12" x14ac:dyDescent="0.2">
      <c r="A1165" s="517">
        <v>65</v>
      </c>
      <c r="B1165" s="469" t="s">
        <v>1527</v>
      </c>
      <c r="C1165" s="476" t="s">
        <v>5659</v>
      </c>
      <c r="D1165" s="464"/>
      <c r="E1165" s="465" t="s">
        <v>2885</v>
      </c>
      <c r="F1165" s="466" t="s">
        <v>2886</v>
      </c>
      <c r="G1165" s="750"/>
      <c r="H1165" s="477">
        <v>45111</v>
      </c>
      <c r="I1165" s="473">
        <f t="shared" si="42"/>
        <v>5166048.6486486485</v>
      </c>
      <c r="J1165" s="473">
        <f t="shared" si="43"/>
        <v>568265.35135135136</v>
      </c>
      <c r="K1165" s="474">
        <f>1548234+2332098+1853982</f>
        <v>5734314</v>
      </c>
      <c r="L1165" s="475"/>
    </row>
    <row r="1166" spans="1:12" x14ac:dyDescent="0.2">
      <c r="A1166" s="305">
        <v>66</v>
      </c>
      <c r="B1166" s="485" t="s">
        <v>1528</v>
      </c>
      <c r="C1166" s="476" t="s">
        <v>5602</v>
      </c>
      <c r="D1166" s="464"/>
      <c r="E1166" s="465" t="s">
        <v>3138</v>
      </c>
      <c r="F1166" s="466" t="s">
        <v>3077</v>
      </c>
      <c r="G1166" s="750"/>
      <c r="H1166" s="477">
        <v>45111</v>
      </c>
      <c r="I1166" s="488">
        <f t="shared" si="42"/>
        <v>10315315.315315314</v>
      </c>
      <c r="J1166" s="488">
        <f t="shared" si="43"/>
        <v>1134684.6846846845</v>
      </c>
      <c r="K1166" s="474">
        <v>11450000</v>
      </c>
      <c r="L1166" s="475"/>
    </row>
    <row r="1167" spans="1:12" x14ac:dyDescent="0.2">
      <c r="A1167" s="517">
        <v>67</v>
      </c>
      <c r="B1167" s="469" t="s">
        <v>1529</v>
      </c>
      <c r="C1167" s="476" t="s">
        <v>5802</v>
      </c>
      <c r="D1167" s="464"/>
      <c r="E1167" s="465" t="s">
        <v>3104</v>
      </c>
      <c r="F1167" s="466" t="s">
        <v>3061</v>
      </c>
      <c r="G1167" s="750"/>
      <c r="H1167" s="477">
        <v>45111</v>
      </c>
      <c r="I1167" s="473">
        <f t="shared" si="42"/>
        <v>3280158.5585585581</v>
      </c>
      <c r="J1167" s="473">
        <f t="shared" si="43"/>
        <v>360817.44144144142</v>
      </c>
      <c r="K1167" s="474">
        <f>849000+2791976</f>
        <v>3640976</v>
      </c>
      <c r="L1167" s="475"/>
    </row>
    <row r="1168" spans="1:12" x14ac:dyDescent="0.2">
      <c r="A1168" s="305">
        <v>68</v>
      </c>
      <c r="B1168" s="485" t="s">
        <v>1530</v>
      </c>
      <c r="C1168" s="476" t="s">
        <v>5637</v>
      </c>
      <c r="D1168" s="464"/>
      <c r="E1168" s="465" t="s">
        <v>3146</v>
      </c>
      <c r="F1168" s="466" t="s">
        <v>3147</v>
      </c>
      <c r="G1168" s="750"/>
      <c r="H1168" s="477">
        <v>45111</v>
      </c>
      <c r="I1168" s="488">
        <f t="shared" ref="I1168:I1231" si="46">K1168/1.11</f>
        <v>3028856.7567567565</v>
      </c>
      <c r="J1168" s="488">
        <f t="shared" ref="J1168:J1231" si="47">I1168*11%</f>
        <v>333174.2432432432</v>
      </c>
      <c r="K1168" s="474">
        <f>1919646+1442385</f>
        <v>3362031</v>
      </c>
      <c r="L1168" s="475"/>
    </row>
    <row r="1169" spans="1:12" x14ac:dyDescent="0.2">
      <c r="A1169" s="517">
        <v>69</v>
      </c>
      <c r="B1169" s="469" t="s">
        <v>1531</v>
      </c>
      <c r="C1169" s="476" t="s">
        <v>5603</v>
      </c>
      <c r="D1169" s="464"/>
      <c r="E1169" s="465" t="s">
        <v>5604</v>
      </c>
      <c r="F1169" s="466" t="s">
        <v>3512</v>
      </c>
      <c r="G1169" s="750"/>
      <c r="H1169" s="477">
        <v>45112</v>
      </c>
      <c r="I1169" s="473">
        <f t="shared" si="46"/>
        <v>1394126.1261261259</v>
      </c>
      <c r="J1169" s="473">
        <f t="shared" si="47"/>
        <v>153353.87387387385</v>
      </c>
      <c r="K1169" s="474">
        <v>1547480</v>
      </c>
      <c r="L1169" s="475"/>
    </row>
    <row r="1170" spans="1:12" x14ac:dyDescent="0.2">
      <c r="A1170" s="305">
        <v>70</v>
      </c>
      <c r="B1170" s="485" t="s">
        <v>1532</v>
      </c>
      <c r="C1170" s="476" t="s">
        <v>5605</v>
      </c>
      <c r="D1170" s="464"/>
      <c r="E1170" s="465" t="s">
        <v>5606</v>
      </c>
      <c r="F1170" s="466" t="s">
        <v>3092</v>
      </c>
      <c r="G1170" s="750"/>
      <c r="H1170" s="477">
        <v>45112</v>
      </c>
      <c r="I1170" s="488">
        <f t="shared" si="46"/>
        <v>279279.27927927923</v>
      </c>
      <c r="J1170" s="488">
        <f t="shared" si="47"/>
        <v>30720.720720720714</v>
      </c>
      <c r="K1170" s="474">
        <v>310000</v>
      </c>
      <c r="L1170" s="475"/>
    </row>
    <row r="1171" spans="1:12" x14ac:dyDescent="0.2">
      <c r="A1171" s="517">
        <v>71</v>
      </c>
      <c r="B1171" s="469" t="s">
        <v>1533</v>
      </c>
      <c r="C1171" s="476" t="s">
        <v>5621</v>
      </c>
      <c r="D1171" s="464"/>
      <c r="E1171" s="465" t="s">
        <v>3536</v>
      </c>
      <c r="F1171" s="466" t="s">
        <v>2877</v>
      </c>
      <c r="G1171" s="750"/>
      <c r="H1171" s="477">
        <v>45112</v>
      </c>
      <c r="I1171" s="473">
        <f t="shared" si="46"/>
        <v>10478623.423423423</v>
      </c>
      <c r="J1171" s="473">
        <f t="shared" si="47"/>
        <v>1152648.5765765766</v>
      </c>
      <c r="K1171" s="474">
        <f>2850672+5292600+3488000</f>
        <v>11631272</v>
      </c>
      <c r="L1171" s="475"/>
    </row>
    <row r="1172" spans="1:12" x14ac:dyDescent="0.2">
      <c r="A1172" s="305">
        <v>72</v>
      </c>
      <c r="B1172" s="485" t="s">
        <v>1534</v>
      </c>
      <c r="C1172" s="476" t="s">
        <v>5607</v>
      </c>
      <c r="D1172" s="464"/>
      <c r="E1172" s="465" t="s">
        <v>3486</v>
      </c>
      <c r="F1172" s="466" t="s">
        <v>2994</v>
      </c>
      <c r="G1172" s="750"/>
      <c r="H1172" s="477">
        <v>45112</v>
      </c>
      <c r="I1172" s="488">
        <f t="shared" si="46"/>
        <v>653153.15315315314</v>
      </c>
      <c r="J1172" s="488">
        <f t="shared" si="47"/>
        <v>71846.846846846849</v>
      </c>
      <c r="K1172" s="474">
        <v>725000</v>
      </c>
      <c r="L1172" s="475"/>
    </row>
    <row r="1173" spans="1:12" x14ac:dyDescent="0.2">
      <c r="A1173" s="517">
        <v>73</v>
      </c>
      <c r="B1173" s="469" t="s">
        <v>1535</v>
      </c>
      <c r="C1173" s="476" t="s">
        <v>5608</v>
      </c>
      <c r="D1173" s="464"/>
      <c r="E1173" s="465" t="s">
        <v>2907</v>
      </c>
      <c r="F1173" s="466" t="s">
        <v>3092</v>
      </c>
      <c r="G1173" s="750"/>
      <c r="H1173" s="477">
        <v>45112</v>
      </c>
      <c r="I1173" s="473">
        <f t="shared" si="46"/>
        <v>838824.32432432426</v>
      </c>
      <c r="J1173" s="473">
        <f t="shared" si="47"/>
        <v>92270.675675675666</v>
      </c>
      <c r="K1173" s="474">
        <v>931095</v>
      </c>
      <c r="L1173" s="475"/>
    </row>
    <row r="1174" spans="1:12" x14ac:dyDescent="0.2">
      <c r="A1174" s="305">
        <v>74</v>
      </c>
      <c r="B1174" s="485" t="s">
        <v>1536</v>
      </c>
      <c r="C1174" s="476" t="s">
        <v>5760</v>
      </c>
      <c r="D1174" s="464"/>
      <c r="E1174" s="471" t="s">
        <v>3533</v>
      </c>
      <c r="F1174" s="471" t="s">
        <v>2922</v>
      </c>
      <c r="G1174" s="750"/>
      <c r="H1174" s="472">
        <v>45111</v>
      </c>
      <c r="I1174" s="488">
        <f t="shared" si="46"/>
        <v>1740502.7027027025</v>
      </c>
      <c r="J1174" s="488">
        <f t="shared" si="47"/>
        <v>191455.29729729728</v>
      </c>
      <c r="K1174" s="474">
        <f>459648+1472310</f>
        <v>1931958</v>
      </c>
      <c r="L1174" s="475"/>
    </row>
    <row r="1175" spans="1:12" x14ac:dyDescent="0.2">
      <c r="A1175" s="517">
        <v>75</v>
      </c>
      <c r="B1175" s="469" t="s">
        <v>1537</v>
      </c>
      <c r="C1175" s="476" t="s">
        <v>5636</v>
      </c>
      <c r="D1175" s="464"/>
      <c r="E1175" s="465" t="s">
        <v>3030</v>
      </c>
      <c r="F1175" s="466" t="s">
        <v>2892</v>
      </c>
      <c r="G1175" s="750"/>
      <c r="H1175" s="477">
        <v>45112</v>
      </c>
      <c r="I1175" s="473">
        <f t="shared" si="46"/>
        <v>13452027.027027026</v>
      </c>
      <c r="J1175" s="473">
        <f t="shared" si="47"/>
        <v>1479722.9729729728</v>
      </c>
      <c r="K1175" s="474">
        <f>4801680+4800000+5330070</f>
        <v>14931750</v>
      </c>
      <c r="L1175" s="475"/>
    </row>
    <row r="1176" spans="1:12" x14ac:dyDescent="0.2">
      <c r="A1176" s="305">
        <v>76</v>
      </c>
      <c r="B1176" s="485" t="s">
        <v>1538</v>
      </c>
      <c r="C1176" s="476" t="s">
        <v>5678</v>
      </c>
      <c r="D1176" s="464"/>
      <c r="E1176" s="465" t="s">
        <v>2907</v>
      </c>
      <c r="F1176" s="466" t="s">
        <v>2792</v>
      </c>
      <c r="G1176" s="750"/>
      <c r="H1176" s="477">
        <v>45112</v>
      </c>
      <c r="I1176" s="488">
        <f t="shared" si="46"/>
        <v>3704691.8918918916</v>
      </c>
      <c r="J1176" s="488">
        <f t="shared" si="47"/>
        <v>407516.10810810811</v>
      </c>
      <c r="K1176" s="474">
        <f>769500+1671354+1671354</f>
        <v>4112208</v>
      </c>
      <c r="L1176" s="475"/>
    </row>
    <row r="1177" spans="1:12" x14ac:dyDescent="0.2">
      <c r="A1177" s="517">
        <v>77</v>
      </c>
      <c r="B1177" s="469" t="s">
        <v>1539</v>
      </c>
      <c r="C1177" s="476" t="s">
        <v>5672</v>
      </c>
      <c r="D1177" s="464"/>
      <c r="E1177" s="465" t="s">
        <v>2914</v>
      </c>
      <c r="F1177" s="466" t="s">
        <v>2915</v>
      </c>
      <c r="G1177" s="750"/>
      <c r="H1177" s="477">
        <v>45112</v>
      </c>
      <c r="I1177" s="473">
        <f t="shared" si="46"/>
        <v>2454507.2072072071</v>
      </c>
      <c r="J1177" s="473">
        <f t="shared" si="47"/>
        <v>269995.79279279278</v>
      </c>
      <c r="K1177" s="474">
        <f>574520+430920+1719063</f>
        <v>2724503</v>
      </c>
      <c r="L1177" s="475"/>
    </row>
    <row r="1178" spans="1:12" x14ac:dyDescent="0.2">
      <c r="A1178" s="305">
        <v>78</v>
      </c>
      <c r="B1178" s="485" t="s">
        <v>1540</v>
      </c>
      <c r="C1178" s="476" t="s">
        <v>5611</v>
      </c>
      <c r="D1178" s="464"/>
      <c r="E1178" s="465" t="s">
        <v>2883</v>
      </c>
      <c r="F1178" s="466" t="s">
        <v>2884</v>
      </c>
      <c r="G1178" s="750"/>
      <c r="H1178" s="477">
        <v>45112</v>
      </c>
      <c r="I1178" s="488">
        <f t="shared" si="46"/>
        <v>10126897.297297297</v>
      </c>
      <c r="J1178" s="488">
        <f t="shared" si="47"/>
        <v>1113958.7027027027</v>
      </c>
      <c r="K1178" s="474">
        <f>5355720+2560896+3324240</f>
        <v>11240856</v>
      </c>
      <c r="L1178" s="475"/>
    </row>
    <row r="1179" spans="1:12" x14ac:dyDescent="0.2">
      <c r="A1179" s="517">
        <v>79</v>
      </c>
      <c r="B1179" s="469" t="s">
        <v>1541</v>
      </c>
      <c r="C1179" s="476" t="s">
        <v>5638</v>
      </c>
      <c r="D1179" s="464"/>
      <c r="E1179" s="465" t="s">
        <v>3151</v>
      </c>
      <c r="F1179" s="466" t="s">
        <v>2994</v>
      </c>
      <c r="G1179" s="750"/>
      <c r="H1179" s="477">
        <v>45112</v>
      </c>
      <c r="I1179" s="473">
        <f t="shared" si="46"/>
        <v>22142717.117117114</v>
      </c>
      <c r="J1179" s="473">
        <f t="shared" si="47"/>
        <v>2435698.8828828824</v>
      </c>
      <c r="K1179" s="474">
        <f>4042000+20536416</f>
        <v>24578416</v>
      </c>
      <c r="L1179" s="475"/>
    </row>
    <row r="1180" spans="1:12" x14ac:dyDescent="0.2">
      <c r="A1180" s="305">
        <v>80</v>
      </c>
      <c r="B1180" s="485" t="s">
        <v>1542</v>
      </c>
      <c r="C1180" s="476" t="s">
        <v>5708</v>
      </c>
      <c r="D1180" s="464"/>
      <c r="E1180" s="465" t="s">
        <v>3014</v>
      </c>
      <c r="F1180" s="466" t="s">
        <v>3006</v>
      </c>
      <c r="G1180" s="750"/>
      <c r="H1180" s="477">
        <v>45112</v>
      </c>
      <c r="I1180" s="488">
        <f t="shared" si="46"/>
        <v>7222208.1081081079</v>
      </c>
      <c r="J1180" s="488">
        <f t="shared" si="47"/>
        <v>794442.89189189184</v>
      </c>
      <c r="K1180" s="474">
        <f>5909760+330885+1776006</f>
        <v>8016651</v>
      </c>
      <c r="L1180" s="475"/>
    </row>
    <row r="1181" spans="1:12" x14ac:dyDescent="0.2">
      <c r="A1181" s="517">
        <v>81</v>
      </c>
      <c r="B1181" s="469" t="s">
        <v>1543</v>
      </c>
      <c r="C1181" s="476" t="s">
        <v>5696</v>
      </c>
      <c r="D1181" s="464"/>
      <c r="E1181" s="465" t="s">
        <v>2887</v>
      </c>
      <c r="F1181" s="466" t="s">
        <v>2888</v>
      </c>
      <c r="G1181" s="750"/>
      <c r="H1181" s="477">
        <v>45113</v>
      </c>
      <c r="I1181" s="473">
        <f t="shared" si="46"/>
        <v>9023443.2432432417</v>
      </c>
      <c r="J1181" s="473">
        <f t="shared" si="47"/>
        <v>992578.75675675657</v>
      </c>
      <c r="K1181" s="474">
        <f>1671354+200280+8144388</f>
        <v>10016022</v>
      </c>
      <c r="L1181" s="475"/>
    </row>
    <row r="1182" spans="1:12" x14ac:dyDescent="0.2">
      <c r="A1182" s="305">
        <v>82</v>
      </c>
      <c r="B1182" s="485" t="s">
        <v>1544</v>
      </c>
      <c r="C1182" s="476" t="s">
        <v>5627</v>
      </c>
      <c r="D1182" s="464"/>
      <c r="E1182" s="465" t="s">
        <v>2934</v>
      </c>
      <c r="F1182" s="466" t="s">
        <v>2935</v>
      </c>
      <c r="G1182" s="750"/>
      <c r="H1182" s="477">
        <v>45113</v>
      </c>
      <c r="I1182" s="488">
        <f t="shared" si="46"/>
        <v>8948151.3513513505</v>
      </c>
      <c r="J1182" s="488">
        <f t="shared" si="47"/>
        <v>984296.64864864852</v>
      </c>
      <c r="K1182" s="474">
        <f>634068+4029615+5268765</f>
        <v>9932448</v>
      </c>
      <c r="L1182" s="475"/>
    </row>
    <row r="1183" spans="1:12" x14ac:dyDescent="0.2">
      <c r="A1183" s="517">
        <v>83</v>
      </c>
      <c r="B1183" s="469" t="s">
        <v>1545</v>
      </c>
      <c r="C1183" s="476" t="s">
        <v>5609</v>
      </c>
      <c r="D1183" s="464"/>
      <c r="E1183" s="465" t="s">
        <v>5610</v>
      </c>
      <c r="F1183" s="466" t="s">
        <v>2946</v>
      </c>
      <c r="G1183" s="750"/>
      <c r="H1183" s="477">
        <v>45112</v>
      </c>
      <c r="I1183" s="473">
        <f t="shared" si="46"/>
        <v>300405.40540540538</v>
      </c>
      <c r="J1183" s="473">
        <f t="shared" si="47"/>
        <v>33044.594594594593</v>
      </c>
      <c r="K1183" s="474">
        <v>333450</v>
      </c>
      <c r="L1183" s="475"/>
    </row>
    <row r="1184" spans="1:12" x14ac:dyDescent="0.2">
      <c r="A1184" s="305">
        <v>84</v>
      </c>
      <c r="B1184" s="485" t="s">
        <v>1546</v>
      </c>
      <c r="C1184" s="476" t="s">
        <v>5644</v>
      </c>
      <c r="D1184" s="464"/>
      <c r="E1184" s="465" t="s">
        <v>2893</v>
      </c>
      <c r="F1184" s="466" t="s">
        <v>2890</v>
      </c>
      <c r="G1184" s="750"/>
      <c r="H1184" s="477">
        <v>45113</v>
      </c>
      <c r="I1184" s="488">
        <f t="shared" si="46"/>
        <v>5509237.8378378376</v>
      </c>
      <c r="J1184" s="488">
        <f t="shared" si="47"/>
        <v>606016.16216216213</v>
      </c>
      <c r="K1184" s="474">
        <f>1671354+1179900+3264000</f>
        <v>6115254</v>
      </c>
      <c r="L1184" s="475"/>
    </row>
    <row r="1185" spans="1:12" x14ac:dyDescent="0.2">
      <c r="A1185" s="517">
        <v>85</v>
      </c>
      <c r="B1185" s="469" t="s">
        <v>1547</v>
      </c>
      <c r="C1185" s="476" t="s">
        <v>5641</v>
      </c>
      <c r="D1185" s="464"/>
      <c r="E1185" s="471" t="s">
        <v>2921</v>
      </c>
      <c r="F1185" s="471" t="s">
        <v>2922</v>
      </c>
      <c r="G1185" s="750"/>
      <c r="H1185" s="472">
        <v>45113</v>
      </c>
      <c r="I1185" s="473">
        <f t="shared" si="46"/>
        <v>6510940.5405405397</v>
      </c>
      <c r="J1185" s="473">
        <f t="shared" si="47"/>
        <v>716203.45945945941</v>
      </c>
      <c r="K1185" s="474">
        <f>3016440+1280448+2930256</f>
        <v>7227144</v>
      </c>
      <c r="L1185" s="475"/>
    </row>
    <row r="1186" spans="1:12" x14ac:dyDescent="0.2">
      <c r="A1186" s="305">
        <v>86</v>
      </c>
      <c r="B1186" s="485" t="s">
        <v>1548</v>
      </c>
      <c r="C1186" s="476" t="s">
        <v>5654</v>
      </c>
      <c r="D1186" s="464"/>
      <c r="E1186" s="471" t="s">
        <v>2936</v>
      </c>
      <c r="F1186" s="471" t="s">
        <v>2922</v>
      </c>
      <c r="G1186" s="750"/>
      <c r="H1186" s="472">
        <v>45113</v>
      </c>
      <c r="I1186" s="488">
        <f t="shared" si="46"/>
        <v>7463115.3153153146</v>
      </c>
      <c r="J1186" s="488">
        <f t="shared" si="47"/>
        <v>820942.68468468462</v>
      </c>
      <c r="K1186" s="474">
        <f>1625184+3177656+3481218</f>
        <v>8284058</v>
      </c>
      <c r="L1186" s="475"/>
    </row>
    <row r="1187" spans="1:12" x14ac:dyDescent="0.2">
      <c r="A1187" s="517">
        <v>87</v>
      </c>
      <c r="B1187" s="469" t="s">
        <v>1549</v>
      </c>
      <c r="C1187" s="476" t="s">
        <v>5652</v>
      </c>
      <c r="D1187" s="464"/>
      <c r="E1187" s="465" t="s">
        <v>3474</v>
      </c>
      <c r="F1187" s="466" t="s">
        <v>2755</v>
      </c>
      <c r="G1187" s="750"/>
      <c r="H1187" s="477">
        <v>45113</v>
      </c>
      <c r="I1187" s="473">
        <f t="shared" si="46"/>
        <v>6930765.7657657648</v>
      </c>
      <c r="J1187" s="473">
        <f t="shared" si="47"/>
        <v>762384.23423423409</v>
      </c>
      <c r="K1187" s="474">
        <f>5185750+1891800+615600</f>
        <v>7693150</v>
      </c>
      <c r="L1187" s="475"/>
    </row>
    <row r="1188" spans="1:12" x14ac:dyDescent="0.2">
      <c r="A1188" s="305">
        <v>88</v>
      </c>
      <c r="B1188" s="485" t="s">
        <v>1550</v>
      </c>
      <c r="C1188" s="476" t="s">
        <v>5750</v>
      </c>
      <c r="D1188" s="464"/>
      <c r="E1188" s="465" t="s">
        <v>3046</v>
      </c>
      <c r="F1188" s="466" t="s">
        <v>3047</v>
      </c>
      <c r="G1188" s="750"/>
      <c r="H1188" s="477">
        <v>45113</v>
      </c>
      <c r="I1188" s="488">
        <f t="shared" si="46"/>
        <v>9197486.4864864852</v>
      </c>
      <c r="J1188" s="488">
        <f t="shared" si="47"/>
        <v>1011723.5135135134</v>
      </c>
      <c r="K1188" s="474">
        <f>7685250+2031480+492480</f>
        <v>10209210</v>
      </c>
      <c r="L1188" s="475"/>
    </row>
    <row r="1189" spans="1:12" x14ac:dyDescent="0.2">
      <c r="A1189" s="517">
        <v>89</v>
      </c>
      <c r="B1189" s="469" t="s">
        <v>1551</v>
      </c>
      <c r="C1189" s="476" t="s">
        <v>5613</v>
      </c>
      <c r="D1189" s="464"/>
      <c r="E1189" s="465" t="s">
        <v>2995</v>
      </c>
      <c r="F1189" s="466" t="s">
        <v>2755</v>
      </c>
      <c r="G1189" s="750"/>
      <c r="H1189" s="477">
        <v>45114</v>
      </c>
      <c r="I1189" s="473">
        <f t="shared" si="46"/>
        <v>6562702.702702702</v>
      </c>
      <c r="J1189" s="473">
        <f t="shared" si="47"/>
        <v>721897.29729729728</v>
      </c>
      <c r="K1189" s="474">
        <v>7284600</v>
      </c>
      <c r="L1189" s="475"/>
    </row>
    <row r="1190" spans="1:12" x14ac:dyDescent="0.2">
      <c r="A1190" s="305">
        <v>90</v>
      </c>
      <c r="B1190" s="485" t="s">
        <v>1552</v>
      </c>
      <c r="C1190" s="476" t="s">
        <v>5806</v>
      </c>
      <c r="D1190" s="464"/>
      <c r="E1190" s="465" t="s">
        <v>4322</v>
      </c>
      <c r="F1190" s="466" t="s">
        <v>3092</v>
      </c>
      <c r="G1190" s="750"/>
      <c r="H1190" s="477">
        <v>45114</v>
      </c>
      <c r="I1190" s="488">
        <f t="shared" si="46"/>
        <v>7547041.441441441</v>
      </c>
      <c r="J1190" s="488">
        <f t="shared" si="47"/>
        <v>830174.55855855846</v>
      </c>
      <c r="K1190" s="474">
        <f>3305536+270000+4801680</f>
        <v>8377216</v>
      </c>
      <c r="L1190" s="475"/>
    </row>
    <row r="1191" spans="1:12" x14ac:dyDescent="0.2">
      <c r="A1191" s="517">
        <v>91</v>
      </c>
      <c r="B1191" s="469" t="s">
        <v>1553</v>
      </c>
      <c r="C1191" s="476" t="s">
        <v>5614</v>
      </c>
      <c r="D1191" s="464"/>
      <c r="E1191" s="465" t="s">
        <v>5186</v>
      </c>
      <c r="F1191" s="466" t="s">
        <v>2940</v>
      </c>
      <c r="G1191" s="750"/>
      <c r="H1191" s="477">
        <v>45114</v>
      </c>
      <c r="I1191" s="473">
        <f t="shared" si="46"/>
        <v>101418.91891891891</v>
      </c>
      <c r="J1191" s="473">
        <f t="shared" si="47"/>
        <v>11156.08108108108</v>
      </c>
      <c r="K1191" s="474">
        <v>112575</v>
      </c>
      <c r="L1191" s="475"/>
    </row>
    <row r="1192" spans="1:12" x14ac:dyDescent="0.2">
      <c r="A1192" s="305">
        <v>92</v>
      </c>
      <c r="B1192" s="485" t="s">
        <v>1554</v>
      </c>
      <c r="C1192" s="476" t="s">
        <v>5754</v>
      </c>
      <c r="D1192" s="464"/>
      <c r="E1192" s="465" t="s">
        <v>4580</v>
      </c>
      <c r="F1192" s="466" t="s">
        <v>3924</v>
      </c>
      <c r="G1192" s="750"/>
      <c r="H1192" s="477">
        <v>45114</v>
      </c>
      <c r="I1192" s="488">
        <f t="shared" si="46"/>
        <v>3903603.6036036033</v>
      </c>
      <c r="J1192" s="488">
        <f t="shared" si="47"/>
        <v>429396.39639639639</v>
      </c>
      <c r="K1192" s="474">
        <f>2688000+1645000</f>
        <v>4333000</v>
      </c>
      <c r="L1192" s="475"/>
    </row>
    <row r="1193" spans="1:12" x14ac:dyDescent="0.2">
      <c r="A1193" s="517">
        <v>93</v>
      </c>
      <c r="B1193" s="469" t="s">
        <v>1555</v>
      </c>
      <c r="C1193" s="476" t="s">
        <v>5801</v>
      </c>
      <c r="D1193" s="464"/>
      <c r="E1193" s="465" t="s">
        <v>2956</v>
      </c>
      <c r="F1193" s="466" t="s">
        <v>2755</v>
      </c>
      <c r="G1193" s="750"/>
      <c r="H1193" s="477">
        <v>45114</v>
      </c>
      <c r="I1193" s="473">
        <f t="shared" si="46"/>
        <v>12948291.891891891</v>
      </c>
      <c r="J1193" s="473">
        <f t="shared" si="47"/>
        <v>1424312.1081081079</v>
      </c>
      <c r="K1193" s="474">
        <f>3824298+5882058+4666248</f>
        <v>14372604</v>
      </c>
      <c r="L1193" s="475"/>
    </row>
    <row r="1194" spans="1:12" x14ac:dyDescent="0.2">
      <c r="A1194" s="305">
        <v>94</v>
      </c>
      <c r="B1194" s="485" t="s">
        <v>1556</v>
      </c>
      <c r="C1194" s="476" t="s">
        <v>5615</v>
      </c>
      <c r="D1194" s="464"/>
      <c r="E1194" s="465" t="s">
        <v>2974</v>
      </c>
      <c r="F1194" s="466" t="s">
        <v>2755</v>
      </c>
      <c r="G1194" s="750"/>
      <c r="H1194" s="477">
        <v>45114</v>
      </c>
      <c r="I1194" s="488">
        <f t="shared" si="46"/>
        <v>3299185.5855855853</v>
      </c>
      <c r="J1194" s="488">
        <f t="shared" si="47"/>
        <v>362910.41441441438</v>
      </c>
      <c r="K1194" s="474">
        <f>3299096+363000</f>
        <v>3662096</v>
      </c>
      <c r="L1194" s="475"/>
    </row>
    <row r="1195" spans="1:12" x14ac:dyDescent="0.2">
      <c r="A1195" s="517">
        <v>95</v>
      </c>
      <c r="B1195" s="469" t="s">
        <v>1557</v>
      </c>
      <c r="C1195" s="476" t="s">
        <v>5617</v>
      </c>
      <c r="D1195" s="464"/>
      <c r="E1195" s="465" t="s">
        <v>2907</v>
      </c>
      <c r="F1195" s="466" t="s">
        <v>2886</v>
      </c>
      <c r="G1195" s="750"/>
      <c r="H1195" s="477">
        <v>45115</v>
      </c>
      <c r="I1195" s="473">
        <f t="shared" si="46"/>
        <v>1333799.9999999998</v>
      </c>
      <c r="J1195" s="473">
        <f t="shared" si="47"/>
        <v>146717.99999999997</v>
      </c>
      <c r="K1195" s="474">
        <v>1480518</v>
      </c>
      <c r="L1195" s="475"/>
    </row>
    <row r="1196" spans="1:12" x14ac:dyDescent="0.2">
      <c r="A1196" s="305">
        <v>96</v>
      </c>
      <c r="B1196" s="485" t="s">
        <v>1558</v>
      </c>
      <c r="C1196" s="476" t="s">
        <v>5651</v>
      </c>
      <c r="D1196" s="464"/>
      <c r="E1196" s="465" t="s">
        <v>2900</v>
      </c>
      <c r="F1196" s="466" t="s">
        <v>2823</v>
      </c>
      <c r="G1196" s="750"/>
      <c r="H1196" s="477">
        <v>45115</v>
      </c>
      <c r="I1196" s="488">
        <f t="shared" si="46"/>
        <v>54333632.432432428</v>
      </c>
      <c r="J1196" s="488">
        <f t="shared" si="47"/>
        <v>5976699.5675675673</v>
      </c>
      <c r="K1196" s="474">
        <f>20468700+32454432+7387200</f>
        <v>60310332</v>
      </c>
      <c r="L1196" s="475"/>
    </row>
    <row r="1197" spans="1:12" x14ac:dyDescent="0.2">
      <c r="A1197" s="517">
        <v>97</v>
      </c>
      <c r="B1197" s="469" t="s">
        <v>1559</v>
      </c>
      <c r="C1197" s="480" t="s">
        <v>5618</v>
      </c>
      <c r="D1197" s="481"/>
      <c r="E1197" s="482" t="s">
        <v>4298</v>
      </c>
      <c r="F1197" s="483" t="s">
        <v>3025</v>
      </c>
      <c r="G1197" s="750"/>
      <c r="H1197" s="484">
        <v>45115</v>
      </c>
      <c r="I1197" s="473">
        <f t="shared" si="46"/>
        <v>479279.27927927923</v>
      </c>
      <c r="J1197" s="473">
        <f t="shared" si="47"/>
        <v>52720.720720720718</v>
      </c>
      <c r="K1197" s="474">
        <v>532000</v>
      </c>
      <c r="L1197" s="475"/>
    </row>
    <row r="1198" spans="1:12" x14ac:dyDescent="0.2">
      <c r="A1198" s="305">
        <v>98</v>
      </c>
      <c r="B1198" s="485" t="s">
        <v>1560</v>
      </c>
      <c r="C1198" s="476" t="s">
        <v>5619</v>
      </c>
      <c r="D1198" s="464"/>
      <c r="E1198" s="471" t="s">
        <v>3032</v>
      </c>
      <c r="F1198" s="471" t="s">
        <v>3033</v>
      </c>
      <c r="G1198" s="750"/>
      <c r="H1198" s="477">
        <v>45115</v>
      </c>
      <c r="I1198" s="488">
        <f t="shared" si="46"/>
        <v>270270.27027027024</v>
      </c>
      <c r="J1198" s="488">
        <f t="shared" si="47"/>
        <v>29729.729729729726</v>
      </c>
      <c r="K1198" s="474">
        <v>300000</v>
      </c>
      <c r="L1198" s="475"/>
    </row>
    <row r="1199" spans="1:12" x14ac:dyDescent="0.2">
      <c r="A1199" s="517">
        <v>99</v>
      </c>
      <c r="B1199" s="469" t="s">
        <v>1561</v>
      </c>
      <c r="C1199" s="476" t="s">
        <v>5628</v>
      </c>
      <c r="D1199" s="464"/>
      <c r="E1199" s="465" t="s">
        <v>2945</v>
      </c>
      <c r="F1199" s="466" t="s">
        <v>2946</v>
      </c>
      <c r="G1199" s="750"/>
      <c r="H1199" s="477">
        <v>45115</v>
      </c>
      <c r="I1199" s="473">
        <f t="shared" si="46"/>
        <v>12238670.270270269</v>
      </c>
      <c r="J1199" s="473">
        <f t="shared" si="47"/>
        <v>1346253.7297297297</v>
      </c>
      <c r="K1199" s="474">
        <f>3562956+3197016+6824952</f>
        <v>13584924</v>
      </c>
      <c r="L1199" s="475"/>
    </row>
    <row r="1200" spans="1:12" x14ac:dyDescent="0.2">
      <c r="A1200" s="305">
        <v>100</v>
      </c>
      <c r="B1200" s="485" t="s">
        <v>1562</v>
      </c>
      <c r="C1200" s="476" t="s">
        <v>5658</v>
      </c>
      <c r="D1200" s="464"/>
      <c r="E1200" s="465" t="s">
        <v>2927</v>
      </c>
      <c r="F1200" s="466" t="s">
        <v>2928</v>
      </c>
      <c r="G1200" s="750"/>
      <c r="H1200" s="477">
        <v>45115</v>
      </c>
      <c r="I1200" s="488">
        <f t="shared" si="46"/>
        <v>6915681.9819819815</v>
      </c>
      <c r="J1200" s="488">
        <f t="shared" si="47"/>
        <v>760725.01801801799</v>
      </c>
      <c r="K1200" s="474">
        <f>5028301+616626+2031480</f>
        <v>7676407</v>
      </c>
      <c r="L1200" s="475"/>
    </row>
    <row r="1201" spans="1:12" x14ac:dyDescent="0.2">
      <c r="A1201" s="517">
        <v>101</v>
      </c>
      <c r="B1201" s="469" t="s">
        <v>1563</v>
      </c>
      <c r="C1201" s="476" t="s">
        <v>5770</v>
      </c>
      <c r="D1201" s="464"/>
      <c r="E1201" s="465" t="s">
        <v>2954</v>
      </c>
      <c r="F1201" s="466" t="s">
        <v>2955</v>
      </c>
      <c r="G1201" s="750"/>
      <c r="H1201" s="477">
        <v>45114</v>
      </c>
      <c r="I1201" s="473">
        <f t="shared" si="46"/>
        <v>6724921.6216216208</v>
      </c>
      <c r="J1201" s="473">
        <f t="shared" si="47"/>
        <v>739741.37837837834</v>
      </c>
      <c r="K1201" s="474">
        <f>3524823+2881008+1058832</f>
        <v>7464663</v>
      </c>
      <c r="L1201" s="475"/>
    </row>
    <row r="1202" spans="1:12" x14ac:dyDescent="0.2">
      <c r="A1202" s="305">
        <v>102</v>
      </c>
      <c r="B1202" s="485" t="s">
        <v>1564</v>
      </c>
      <c r="C1202" s="476" t="s">
        <v>5622</v>
      </c>
      <c r="D1202" s="464"/>
      <c r="E1202" s="465" t="s">
        <v>3130</v>
      </c>
      <c r="F1202" s="466" t="s">
        <v>2873</v>
      </c>
      <c r="G1202" s="750"/>
      <c r="H1202" s="477">
        <v>45115</v>
      </c>
      <c r="I1202" s="488">
        <f t="shared" si="46"/>
        <v>924324.32432432426</v>
      </c>
      <c r="J1202" s="488">
        <f t="shared" si="47"/>
        <v>101675.67567567567</v>
      </c>
      <c r="K1202" s="474">
        <v>1026000</v>
      </c>
      <c r="L1202" s="475"/>
    </row>
    <row r="1203" spans="1:12" x14ac:dyDescent="0.2">
      <c r="A1203" s="517">
        <v>103</v>
      </c>
      <c r="B1203" s="469" t="s">
        <v>1565</v>
      </c>
      <c r="C1203" s="476" t="s">
        <v>5656</v>
      </c>
      <c r="D1203" s="464"/>
      <c r="E1203" s="465" t="s">
        <v>2907</v>
      </c>
      <c r="F1203" s="466" t="s">
        <v>2926</v>
      </c>
      <c r="G1203" s="750"/>
      <c r="H1203" s="477">
        <v>45115</v>
      </c>
      <c r="I1203" s="473">
        <f t="shared" si="46"/>
        <v>20979389.189189188</v>
      </c>
      <c r="J1203" s="473">
        <f t="shared" si="47"/>
        <v>2307732.8108108109</v>
      </c>
      <c r="K1203" s="474">
        <f>15308946+5318784+2659392</f>
        <v>23287122</v>
      </c>
      <c r="L1203" s="475"/>
    </row>
    <row r="1204" spans="1:12" x14ac:dyDescent="0.2">
      <c r="A1204" s="305">
        <v>104</v>
      </c>
      <c r="B1204" s="485" t="s">
        <v>1566</v>
      </c>
      <c r="C1204" s="476" t="s">
        <v>5691</v>
      </c>
      <c r="D1204" s="464"/>
      <c r="E1204" s="465" t="s">
        <v>2981</v>
      </c>
      <c r="F1204" s="466" t="s">
        <v>2982</v>
      </c>
      <c r="G1204" s="750"/>
      <c r="H1204" s="477">
        <v>45115</v>
      </c>
      <c r="I1204" s="488">
        <f t="shared" si="46"/>
        <v>31812470.270270266</v>
      </c>
      <c r="J1204" s="488">
        <f t="shared" si="47"/>
        <v>3499371.7297297292</v>
      </c>
      <c r="K1204" s="474">
        <f>11297286+21115080+2899476</f>
        <v>35311842</v>
      </c>
      <c r="L1204" s="475"/>
    </row>
    <row r="1205" spans="1:12" x14ac:dyDescent="0.2">
      <c r="A1205" s="517">
        <v>105</v>
      </c>
      <c r="B1205" s="469" t="s">
        <v>1567</v>
      </c>
      <c r="C1205" s="476" t="s">
        <v>5751</v>
      </c>
      <c r="D1205" s="464"/>
      <c r="E1205" s="465" t="s">
        <v>3471</v>
      </c>
      <c r="F1205" s="466" t="s">
        <v>2873</v>
      </c>
      <c r="G1205" s="750"/>
      <c r="H1205" s="477">
        <v>45115</v>
      </c>
      <c r="I1205" s="473">
        <f t="shared" si="46"/>
        <v>5127819.8198198192</v>
      </c>
      <c r="J1205" s="473">
        <f t="shared" si="47"/>
        <v>564060.18018018012</v>
      </c>
      <c r="K1205" s="474">
        <f>5091880+600000</f>
        <v>5691880</v>
      </c>
      <c r="L1205" s="475"/>
    </row>
    <row r="1206" spans="1:12" x14ac:dyDescent="0.2">
      <c r="A1206" s="305">
        <v>106</v>
      </c>
      <c r="B1206" s="485" t="s">
        <v>1568</v>
      </c>
      <c r="C1206" s="476" t="s">
        <v>5624</v>
      </c>
      <c r="D1206" s="464"/>
      <c r="E1206" s="465" t="s">
        <v>3085</v>
      </c>
      <c r="F1206" s="466" t="s">
        <v>2982</v>
      </c>
      <c r="G1206" s="750"/>
      <c r="H1206" s="477">
        <v>45117</v>
      </c>
      <c r="I1206" s="488">
        <f t="shared" si="46"/>
        <v>3855972.9729729728</v>
      </c>
      <c r="J1206" s="488">
        <f t="shared" si="47"/>
        <v>424157.02702702698</v>
      </c>
      <c r="K1206" s="474">
        <v>4280130</v>
      </c>
      <c r="L1206" s="475"/>
    </row>
    <row r="1207" spans="1:12" x14ac:dyDescent="0.2">
      <c r="A1207" s="517">
        <v>107</v>
      </c>
      <c r="B1207" s="469" t="s">
        <v>1569</v>
      </c>
      <c r="C1207" s="476" t="s">
        <v>5625</v>
      </c>
      <c r="D1207" s="464"/>
      <c r="E1207" s="465" t="s">
        <v>3076</v>
      </c>
      <c r="F1207" s="466" t="s">
        <v>3077</v>
      </c>
      <c r="G1207" s="750"/>
      <c r="H1207" s="477">
        <v>45117</v>
      </c>
      <c r="I1207" s="473">
        <f t="shared" si="46"/>
        <v>360486.48648648645</v>
      </c>
      <c r="J1207" s="473">
        <f t="shared" si="47"/>
        <v>39653.513513513513</v>
      </c>
      <c r="K1207" s="474">
        <v>400140</v>
      </c>
      <c r="L1207" s="475"/>
    </row>
    <row r="1208" spans="1:12" x14ac:dyDescent="0.2">
      <c r="A1208" s="305">
        <v>108</v>
      </c>
      <c r="B1208" s="485" t="s">
        <v>1570</v>
      </c>
      <c r="C1208" s="480" t="s">
        <v>5626</v>
      </c>
      <c r="D1208" s="481"/>
      <c r="E1208" s="482" t="s">
        <v>3541</v>
      </c>
      <c r="F1208" s="483" t="s">
        <v>2982</v>
      </c>
      <c r="G1208" s="750"/>
      <c r="H1208" s="484">
        <v>45117</v>
      </c>
      <c r="I1208" s="488">
        <f t="shared" si="46"/>
        <v>231081.08108108107</v>
      </c>
      <c r="J1208" s="488">
        <f t="shared" si="47"/>
        <v>25418.918918918916</v>
      </c>
      <c r="K1208" s="474">
        <v>256500</v>
      </c>
      <c r="L1208" s="475"/>
    </row>
    <row r="1209" spans="1:12" x14ac:dyDescent="0.2">
      <c r="A1209" s="517">
        <v>109</v>
      </c>
      <c r="B1209" s="469" t="s">
        <v>1571</v>
      </c>
      <c r="C1209" s="476" t="s">
        <v>5671</v>
      </c>
      <c r="D1209" s="464"/>
      <c r="E1209" s="471" t="s">
        <v>4026</v>
      </c>
      <c r="F1209" s="471" t="s">
        <v>3033</v>
      </c>
      <c r="G1209" s="750"/>
      <c r="H1209" s="477">
        <v>45117</v>
      </c>
      <c r="I1209" s="473">
        <f t="shared" si="46"/>
        <v>3120720.7207207205</v>
      </c>
      <c r="J1209" s="473">
        <f t="shared" si="47"/>
        <v>343279.27927927923</v>
      </c>
      <c r="K1209" s="474">
        <f>2944000+520000</f>
        <v>3464000</v>
      </c>
      <c r="L1209" s="475"/>
    </row>
    <row r="1210" spans="1:12" x14ac:dyDescent="0.2">
      <c r="A1210" s="305">
        <v>110</v>
      </c>
      <c r="B1210" s="485" t="s">
        <v>1572</v>
      </c>
      <c r="C1210" s="476" t="s">
        <v>5655</v>
      </c>
      <c r="D1210" s="464"/>
      <c r="E1210" s="465" t="s">
        <v>2907</v>
      </c>
      <c r="F1210" s="466" t="s">
        <v>2858</v>
      </c>
      <c r="G1210" s="750"/>
      <c r="H1210" s="477">
        <v>45117</v>
      </c>
      <c r="I1210" s="488">
        <f t="shared" si="46"/>
        <v>23381708.108108107</v>
      </c>
      <c r="J1210" s="488">
        <f t="shared" si="47"/>
        <v>2571987.8918918916</v>
      </c>
      <c r="K1210" s="474">
        <f>12521304+2899476+10532916</f>
        <v>25953696</v>
      </c>
      <c r="L1210" s="475"/>
    </row>
    <row r="1211" spans="1:12" x14ac:dyDescent="0.2">
      <c r="A1211" s="517">
        <v>111</v>
      </c>
      <c r="B1211" s="469" t="s">
        <v>1573</v>
      </c>
      <c r="C1211" s="476" t="s">
        <v>5707</v>
      </c>
      <c r="D1211" s="464"/>
      <c r="E1211" s="465" t="s">
        <v>2962</v>
      </c>
      <c r="F1211" s="466" t="s">
        <v>2908</v>
      </c>
      <c r="G1211" s="750"/>
      <c r="H1211" s="477">
        <v>45117</v>
      </c>
      <c r="I1211" s="473">
        <f t="shared" si="46"/>
        <v>4183963.9639639636</v>
      </c>
      <c r="J1211" s="473">
        <f t="shared" si="47"/>
        <v>460236.03603603598</v>
      </c>
      <c r="K1211" s="474">
        <f>1744200+2900000</f>
        <v>4644200</v>
      </c>
      <c r="L1211" s="475"/>
    </row>
    <row r="1212" spans="1:12" x14ac:dyDescent="0.2">
      <c r="A1212" s="305">
        <v>112</v>
      </c>
      <c r="B1212" s="485" t="s">
        <v>1574</v>
      </c>
      <c r="C1212" s="476" t="s">
        <v>5677</v>
      </c>
      <c r="D1212" s="464"/>
      <c r="E1212" s="465" t="s">
        <v>3164</v>
      </c>
      <c r="F1212" s="466" t="s">
        <v>2928</v>
      </c>
      <c r="G1212" s="750"/>
      <c r="H1212" s="477">
        <v>45117</v>
      </c>
      <c r="I1212" s="488">
        <f t="shared" si="46"/>
        <v>3901131.5315315314</v>
      </c>
      <c r="J1212" s="488">
        <f t="shared" si="47"/>
        <v>429124.46846846846</v>
      </c>
      <c r="K1212" s="474">
        <f>1400000+2930256</f>
        <v>4330256</v>
      </c>
      <c r="L1212" s="475"/>
    </row>
    <row r="1213" spans="1:12" x14ac:dyDescent="0.2">
      <c r="A1213" s="517">
        <v>113</v>
      </c>
      <c r="B1213" s="469" t="s">
        <v>1575</v>
      </c>
      <c r="C1213" s="476" t="s">
        <v>5670</v>
      </c>
      <c r="D1213" s="464"/>
      <c r="E1213" s="465" t="s">
        <v>2907</v>
      </c>
      <c r="F1213" s="466" t="s">
        <v>2908</v>
      </c>
      <c r="G1213" s="750"/>
      <c r="H1213" s="477">
        <v>45117</v>
      </c>
      <c r="I1213" s="473">
        <f t="shared" si="46"/>
        <v>19583538.738738738</v>
      </c>
      <c r="J1213" s="473">
        <f t="shared" si="47"/>
        <v>2154189.2612612611</v>
      </c>
      <c r="K1213" s="474">
        <f>8328042+3070000+10339686</f>
        <v>21737728</v>
      </c>
      <c r="L1213" s="475"/>
    </row>
    <row r="1214" spans="1:12" x14ac:dyDescent="0.2">
      <c r="A1214" s="305">
        <v>114</v>
      </c>
      <c r="B1214" s="485" t="s">
        <v>1576</v>
      </c>
      <c r="C1214" s="476" t="s">
        <v>5642</v>
      </c>
      <c r="D1214" s="464"/>
      <c r="E1214" s="465" t="s">
        <v>3538</v>
      </c>
      <c r="F1214" s="466" t="s">
        <v>2890</v>
      </c>
      <c r="G1214" s="750"/>
      <c r="H1214" s="477">
        <v>45117</v>
      </c>
      <c r="I1214" s="488">
        <f t="shared" si="46"/>
        <v>7360702.702702702</v>
      </c>
      <c r="J1214" s="488">
        <f t="shared" si="47"/>
        <v>809677.29729729728</v>
      </c>
      <c r="K1214" s="474">
        <f>2954880+5215500</f>
        <v>8170380</v>
      </c>
      <c r="L1214" s="475"/>
    </row>
    <row r="1215" spans="1:12" x14ac:dyDescent="0.2">
      <c r="A1215" s="517">
        <v>115</v>
      </c>
      <c r="B1215" s="469" t="s">
        <v>1577</v>
      </c>
      <c r="C1215" s="476" t="s">
        <v>5668</v>
      </c>
      <c r="D1215" s="464"/>
      <c r="E1215" s="465" t="s">
        <v>3536</v>
      </c>
      <c r="F1215" s="466" t="s">
        <v>2877</v>
      </c>
      <c r="G1215" s="750"/>
      <c r="H1215" s="477">
        <v>45117</v>
      </c>
      <c r="I1215" s="473">
        <f t="shared" si="46"/>
        <v>8802567.5675675664</v>
      </c>
      <c r="J1215" s="473">
        <f t="shared" si="47"/>
        <v>968282.43243243231</v>
      </c>
      <c r="K1215" s="474">
        <f>3168000+3080250+3522600</f>
        <v>9770850</v>
      </c>
      <c r="L1215" s="475"/>
    </row>
    <row r="1216" spans="1:12" x14ac:dyDescent="0.2">
      <c r="A1216" s="305">
        <v>116</v>
      </c>
      <c r="B1216" s="485" t="s">
        <v>1578</v>
      </c>
      <c r="C1216" s="476" t="s">
        <v>5794</v>
      </c>
      <c r="D1216" s="464"/>
      <c r="E1216" s="465" t="s">
        <v>2929</v>
      </c>
      <c r="F1216" s="466" t="s">
        <v>2886</v>
      </c>
      <c r="G1216" s="750"/>
      <c r="H1216" s="477">
        <v>45117</v>
      </c>
      <c r="I1216" s="488">
        <f t="shared" si="46"/>
        <v>3335732.4324324322</v>
      </c>
      <c r="J1216" s="488">
        <f t="shared" si="47"/>
        <v>366930.56756756752</v>
      </c>
      <c r="K1216" s="474">
        <f>1140912+1567215+994536</f>
        <v>3702663</v>
      </c>
      <c r="L1216" s="475"/>
    </row>
    <row r="1217" spans="1:12" x14ac:dyDescent="0.2">
      <c r="A1217" s="517">
        <v>117</v>
      </c>
      <c r="B1217" s="469" t="s">
        <v>1579</v>
      </c>
      <c r="C1217" s="476" t="s">
        <v>5629</v>
      </c>
      <c r="D1217" s="464"/>
      <c r="E1217" s="465" t="s">
        <v>3080</v>
      </c>
      <c r="F1217" s="466" t="s">
        <v>2982</v>
      </c>
      <c r="G1217" s="750"/>
      <c r="H1217" s="477">
        <v>45118</v>
      </c>
      <c r="I1217" s="473">
        <f t="shared" si="46"/>
        <v>1551351.3513513512</v>
      </c>
      <c r="J1217" s="473">
        <f t="shared" si="47"/>
        <v>170648.64864864864</v>
      </c>
      <c r="K1217" s="474">
        <v>1722000</v>
      </c>
      <c r="L1217" s="475"/>
    </row>
    <row r="1218" spans="1:12" x14ac:dyDescent="0.2">
      <c r="A1218" s="305">
        <v>118</v>
      </c>
      <c r="B1218" s="485" t="s">
        <v>1580</v>
      </c>
      <c r="C1218" s="476" t="s">
        <v>5630</v>
      </c>
      <c r="D1218" s="464"/>
      <c r="E1218" s="465" t="s">
        <v>2895</v>
      </c>
      <c r="F1218" s="466" t="s">
        <v>2890</v>
      </c>
      <c r="G1218" s="750"/>
      <c r="H1218" s="477">
        <v>45118</v>
      </c>
      <c r="I1218" s="488">
        <f t="shared" si="46"/>
        <v>7978767.5675675664</v>
      </c>
      <c r="J1218" s="488">
        <f t="shared" si="47"/>
        <v>877664.43243243231</v>
      </c>
      <c r="K1218" s="474">
        <v>8856432</v>
      </c>
      <c r="L1218" s="475"/>
    </row>
    <row r="1219" spans="1:12" x14ac:dyDescent="0.2">
      <c r="A1219" s="517">
        <v>119</v>
      </c>
      <c r="B1219" s="469" t="s">
        <v>1581</v>
      </c>
      <c r="C1219" s="480" t="s">
        <v>5673</v>
      </c>
      <c r="D1219" s="481"/>
      <c r="E1219" s="482" t="s">
        <v>2968</v>
      </c>
      <c r="F1219" s="483" t="s">
        <v>2969</v>
      </c>
      <c r="G1219" s="750"/>
      <c r="H1219" s="484">
        <v>45120</v>
      </c>
      <c r="I1219" s="473">
        <f t="shared" si="46"/>
        <v>15079783.783783782</v>
      </c>
      <c r="J1219" s="473">
        <f t="shared" si="47"/>
        <v>1658776.2162162161</v>
      </c>
      <c r="K1219" s="474">
        <f>14318910+2419650</f>
        <v>16738560</v>
      </c>
      <c r="L1219" s="475"/>
    </row>
    <row r="1220" spans="1:12" x14ac:dyDescent="0.2">
      <c r="A1220" s="305">
        <v>120</v>
      </c>
      <c r="B1220" s="485" t="s">
        <v>1582</v>
      </c>
      <c r="C1220" s="476" t="s">
        <v>5632</v>
      </c>
      <c r="D1220" s="464"/>
      <c r="E1220" s="471" t="s">
        <v>3491</v>
      </c>
      <c r="F1220" s="471" t="s">
        <v>3492</v>
      </c>
      <c r="G1220" s="750"/>
      <c r="H1220" s="477">
        <v>45118</v>
      </c>
      <c r="I1220" s="488">
        <f t="shared" si="46"/>
        <v>1364918.9189189188</v>
      </c>
      <c r="J1220" s="488">
        <f t="shared" si="47"/>
        <v>150141.08108108107</v>
      </c>
      <c r="K1220" s="474">
        <v>1515060</v>
      </c>
      <c r="L1220" s="475"/>
    </row>
    <row r="1221" spans="1:12" x14ac:dyDescent="0.2">
      <c r="A1221" s="517">
        <v>121</v>
      </c>
      <c r="B1221" s="469" t="s">
        <v>1583</v>
      </c>
      <c r="C1221" s="476" t="s">
        <v>5633</v>
      </c>
      <c r="D1221" s="464"/>
      <c r="E1221" s="465" t="s">
        <v>5201</v>
      </c>
      <c r="F1221" s="466" t="s">
        <v>3047</v>
      </c>
      <c r="G1221" s="750"/>
      <c r="H1221" s="477">
        <v>45119</v>
      </c>
      <c r="I1221" s="473">
        <f t="shared" si="46"/>
        <v>2409909.9099099096</v>
      </c>
      <c r="J1221" s="473">
        <f t="shared" si="47"/>
        <v>265090.09009009006</v>
      </c>
      <c r="K1221" s="474">
        <v>2675000</v>
      </c>
      <c r="L1221" s="475"/>
    </row>
    <row r="1222" spans="1:12" x14ac:dyDescent="0.2">
      <c r="A1222" s="305">
        <v>122</v>
      </c>
      <c r="B1222" s="485" t="s">
        <v>1584</v>
      </c>
      <c r="C1222" s="476" t="s">
        <v>5634</v>
      </c>
      <c r="D1222" s="464"/>
      <c r="E1222" s="465" t="s">
        <v>3112</v>
      </c>
      <c r="F1222" s="466" t="s">
        <v>2955</v>
      </c>
      <c r="G1222" s="750"/>
      <c r="H1222" s="477">
        <v>45124</v>
      </c>
      <c r="I1222" s="488">
        <f t="shared" si="46"/>
        <v>4734191.8918918911</v>
      </c>
      <c r="J1222" s="488">
        <f t="shared" si="47"/>
        <v>520761.10810810805</v>
      </c>
      <c r="K1222" s="474">
        <v>5254953</v>
      </c>
      <c r="L1222" s="475"/>
    </row>
    <row r="1223" spans="1:12" x14ac:dyDescent="0.2">
      <c r="A1223" s="517">
        <v>123</v>
      </c>
      <c r="B1223" s="469" t="s">
        <v>1585</v>
      </c>
      <c r="C1223" s="476" t="s">
        <v>5663</v>
      </c>
      <c r="D1223" s="464"/>
      <c r="E1223" s="465" t="s">
        <v>2934</v>
      </c>
      <c r="F1223" s="466" t="s">
        <v>2935</v>
      </c>
      <c r="G1223" s="750"/>
      <c r="H1223" s="477">
        <v>45115</v>
      </c>
      <c r="I1223" s="473">
        <f t="shared" si="46"/>
        <v>8071199.9999999991</v>
      </c>
      <c r="J1223" s="473">
        <f t="shared" si="47"/>
        <v>887831.99999999988</v>
      </c>
      <c r="K1223" s="474">
        <f>3970620+2107404+2881008</f>
        <v>8959032</v>
      </c>
      <c r="L1223" s="475"/>
    </row>
    <row r="1224" spans="1:12" x14ac:dyDescent="0.2">
      <c r="A1224" s="305">
        <v>124</v>
      </c>
      <c r="B1224" s="485" t="s">
        <v>1586</v>
      </c>
      <c r="C1224" s="476" t="s">
        <v>5682</v>
      </c>
      <c r="D1224" s="464"/>
      <c r="E1224" s="465" t="s">
        <v>6909</v>
      </c>
      <c r="F1224" s="466" t="s">
        <v>2886</v>
      </c>
      <c r="G1224" s="750"/>
      <c r="H1224" s="477">
        <v>45118</v>
      </c>
      <c r="I1224" s="488">
        <f t="shared" si="46"/>
        <v>6684713.5135135129</v>
      </c>
      <c r="J1224" s="488">
        <f t="shared" si="47"/>
        <v>735318.48648648639</v>
      </c>
      <c r="K1224" s="474">
        <f>1214784+2881008+3324240</f>
        <v>7420032</v>
      </c>
      <c r="L1224" s="475"/>
    </row>
    <row r="1225" spans="1:12" x14ac:dyDescent="0.2">
      <c r="A1225" s="517">
        <v>125</v>
      </c>
      <c r="B1225" s="469" t="s">
        <v>1587</v>
      </c>
      <c r="C1225" s="476" t="s">
        <v>5780</v>
      </c>
      <c r="D1225" s="464"/>
      <c r="E1225" s="465" t="s">
        <v>3030</v>
      </c>
      <c r="F1225" s="466" t="s">
        <v>2892</v>
      </c>
      <c r="G1225" s="750"/>
      <c r="H1225" s="477">
        <v>45119</v>
      </c>
      <c r="I1225" s="473">
        <f t="shared" si="46"/>
        <v>8301669.369369369</v>
      </c>
      <c r="J1225" s="473">
        <f t="shared" si="47"/>
        <v>913183.63063063065</v>
      </c>
      <c r="K1225" s="474">
        <f>2879555+1928880+4406418</f>
        <v>9214853</v>
      </c>
      <c r="L1225" s="475"/>
    </row>
    <row r="1226" spans="1:12" x14ac:dyDescent="0.2">
      <c r="A1226" s="305">
        <v>126</v>
      </c>
      <c r="B1226" s="485" t="s">
        <v>1588</v>
      </c>
      <c r="C1226" s="476" t="s">
        <v>5699</v>
      </c>
      <c r="D1226" s="464"/>
      <c r="E1226" s="465" t="s">
        <v>2894</v>
      </c>
      <c r="F1226" s="466" t="s">
        <v>2851</v>
      </c>
      <c r="G1226" s="750"/>
      <c r="H1226" s="477">
        <v>45120</v>
      </c>
      <c r="I1226" s="488">
        <f t="shared" si="46"/>
        <v>24891810.810810808</v>
      </c>
      <c r="J1226" s="488">
        <f t="shared" si="47"/>
        <v>2738099.1891891891</v>
      </c>
      <c r="K1226" s="474">
        <f>13370832+8100000+6159078</f>
        <v>27629910</v>
      </c>
      <c r="L1226" s="475"/>
    </row>
    <row r="1227" spans="1:12" x14ac:dyDescent="0.2">
      <c r="A1227" s="517">
        <v>127</v>
      </c>
      <c r="B1227" s="469" t="s">
        <v>1589</v>
      </c>
      <c r="C1227" s="476" t="s">
        <v>5643</v>
      </c>
      <c r="D1227" s="464"/>
      <c r="E1227" s="465" t="s">
        <v>3035</v>
      </c>
      <c r="F1227" s="466" t="s">
        <v>2890</v>
      </c>
      <c r="G1227" s="750"/>
      <c r="H1227" s="477">
        <v>45119</v>
      </c>
      <c r="I1227" s="473">
        <f t="shared" si="46"/>
        <v>242342.34234234231</v>
      </c>
      <c r="J1227" s="473">
        <f t="shared" si="47"/>
        <v>26657.657657657655</v>
      </c>
      <c r="K1227" s="474">
        <v>269000</v>
      </c>
      <c r="L1227" s="475"/>
    </row>
    <row r="1228" spans="1:12" x14ac:dyDescent="0.2">
      <c r="A1228" s="305">
        <v>128</v>
      </c>
      <c r="B1228" s="485" t="s">
        <v>1590</v>
      </c>
      <c r="C1228" s="476" t="s">
        <v>5862</v>
      </c>
      <c r="D1228" s="464"/>
      <c r="E1228" s="465" t="s">
        <v>2958</v>
      </c>
      <c r="F1228" s="466" t="s">
        <v>2823</v>
      </c>
      <c r="G1228" s="750"/>
      <c r="H1228" s="477">
        <v>45119</v>
      </c>
      <c r="I1228" s="488">
        <f t="shared" si="46"/>
        <v>18087794.594594594</v>
      </c>
      <c r="J1228" s="488">
        <f t="shared" si="47"/>
        <v>1989657.4054054054</v>
      </c>
      <c r="K1228" s="474">
        <f>15254910+4822542</f>
        <v>20077452</v>
      </c>
      <c r="L1228" s="475"/>
    </row>
    <row r="1229" spans="1:12" x14ac:dyDescent="0.2">
      <c r="A1229" s="517">
        <v>129</v>
      </c>
      <c r="B1229" s="469" t="s">
        <v>1591</v>
      </c>
      <c r="C1229" s="476" t="s">
        <v>5645</v>
      </c>
      <c r="D1229" s="464"/>
      <c r="E1229" s="465" t="s">
        <v>4341</v>
      </c>
      <c r="F1229" s="466" t="s">
        <v>2946</v>
      </c>
      <c r="G1229" s="750"/>
      <c r="H1229" s="477">
        <v>45119</v>
      </c>
      <c r="I1229" s="473">
        <f t="shared" si="46"/>
        <v>1427027.027027027</v>
      </c>
      <c r="J1229" s="473">
        <f t="shared" si="47"/>
        <v>156972.97297297296</v>
      </c>
      <c r="K1229" s="474">
        <v>1584000</v>
      </c>
      <c r="L1229" s="475"/>
    </row>
    <row r="1230" spans="1:12" x14ac:dyDescent="0.2">
      <c r="A1230" s="305">
        <v>130</v>
      </c>
      <c r="B1230" s="485" t="s">
        <v>1592</v>
      </c>
      <c r="C1230" s="480" t="s">
        <v>5710</v>
      </c>
      <c r="D1230" s="481"/>
      <c r="E1230" s="482" t="s">
        <v>3156</v>
      </c>
      <c r="F1230" s="483" t="s">
        <v>2912</v>
      </c>
      <c r="G1230" s="750"/>
      <c r="H1230" s="484">
        <v>45120</v>
      </c>
      <c r="I1230" s="488">
        <f t="shared" si="46"/>
        <v>1240693.6936936935</v>
      </c>
      <c r="J1230" s="488">
        <f t="shared" si="47"/>
        <v>136476.30630630627</v>
      </c>
      <c r="K1230" s="474">
        <f>310070+1067100</f>
        <v>1377170</v>
      </c>
      <c r="L1230" s="475"/>
    </row>
    <row r="1231" spans="1:12" x14ac:dyDescent="0.2">
      <c r="A1231" s="517">
        <v>131</v>
      </c>
      <c r="B1231" s="469" t="s">
        <v>1593</v>
      </c>
      <c r="C1231" s="476" t="s">
        <v>5646</v>
      </c>
      <c r="D1231" s="464"/>
      <c r="E1231" s="471" t="s">
        <v>5647</v>
      </c>
      <c r="F1231" s="471" t="s">
        <v>2915</v>
      </c>
      <c r="G1231" s="750"/>
      <c r="H1231" s="477">
        <v>45120</v>
      </c>
      <c r="I1231" s="473">
        <f t="shared" si="46"/>
        <v>563063.06306306296</v>
      </c>
      <c r="J1231" s="473">
        <f t="shared" si="47"/>
        <v>61936.936936936923</v>
      </c>
      <c r="K1231" s="474">
        <v>625000</v>
      </c>
      <c r="L1231" s="475"/>
    </row>
    <row r="1232" spans="1:12" x14ac:dyDescent="0.2">
      <c r="A1232" s="305">
        <v>132</v>
      </c>
      <c r="B1232" s="485" t="s">
        <v>1594</v>
      </c>
      <c r="C1232" s="476" t="s">
        <v>5753</v>
      </c>
      <c r="D1232" s="464"/>
      <c r="E1232" s="465" t="s">
        <v>3915</v>
      </c>
      <c r="F1232" s="466" t="s">
        <v>2912</v>
      </c>
      <c r="G1232" s="750"/>
      <c r="H1232" s="477">
        <v>45120</v>
      </c>
      <c r="I1232" s="488">
        <f t="shared" ref="I1232:I1300" si="48">K1232/1.11</f>
        <v>595677.4774774774</v>
      </c>
      <c r="J1232" s="488">
        <f t="shared" ref="J1232:J1331" si="49">I1232*11%</f>
        <v>65524.522522522515</v>
      </c>
      <c r="K1232" s="474">
        <f>400000+261202</f>
        <v>661202</v>
      </c>
      <c r="L1232" s="475"/>
    </row>
    <row r="1233" spans="1:12" x14ac:dyDescent="0.2">
      <c r="A1233" s="517">
        <v>133</v>
      </c>
      <c r="B1233" s="469" t="s">
        <v>1595</v>
      </c>
      <c r="C1233" s="476" t="s">
        <v>5648</v>
      </c>
      <c r="D1233" s="464"/>
      <c r="E1233" s="465" t="s">
        <v>5649</v>
      </c>
      <c r="F1233" s="466" t="s">
        <v>2922</v>
      </c>
      <c r="G1233" s="750"/>
      <c r="H1233" s="477">
        <v>45134</v>
      </c>
      <c r="I1233" s="473">
        <f t="shared" si="48"/>
        <v>3954259.4594594589</v>
      </c>
      <c r="J1233" s="473">
        <f t="shared" si="49"/>
        <v>434968.54054054047</v>
      </c>
      <c r="K1233" s="474">
        <v>4389228</v>
      </c>
      <c r="L1233" s="475"/>
    </row>
    <row r="1234" spans="1:12" x14ac:dyDescent="0.2">
      <c r="A1234" s="305">
        <v>134</v>
      </c>
      <c r="B1234" s="485" t="s">
        <v>1596</v>
      </c>
      <c r="C1234" s="476" t="s">
        <v>5683</v>
      </c>
      <c r="D1234" s="464"/>
      <c r="E1234" s="465" t="s">
        <v>3520</v>
      </c>
      <c r="F1234" s="466" t="s">
        <v>2858</v>
      </c>
      <c r="G1234" s="750"/>
      <c r="H1234" s="477">
        <v>45121</v>
      </c>
      <c r="I1234" s="488">
        <f t="shared" si="48"/>
        <v>3050654.9549549548</v>
      </c>
      <c r="J1234" s="488">
        <f t="shared" si="49"/>
        <v>335572.04504504503</v>
      </c>
      <c r="K1234" s="474">
        <f>2691539+694688</f>
        <v>3386227</v>
      </c>
      <c r="L1234" s="475"/>
    </row>
    <row r="1235" spans="1:12" x14ac:dyDescent="0.2">
      <c r="A1235" s="517">
        <v>135</v>
      </c>
      <c r="B1235" s="469" t="s">
        <v>1597</v>
      </c>
      <c r="C1235" s="476" t="s">
        <v>5650</v>
      </c>
      <c r="D1235" s="464"/>
      <c r="E1235" s="465" t="s">
        <v>2897</v>
      </c>
      <c r="F1235" s="466" t="s">
        <v>2879</v>
      </c>
      <c r="G1235" s="750"/>
      <c r="H1235" s="477">
        <v>45121</v>
      </c>
      <c r="I1235" s="473">
        <f t="shared" si="48"/>
        <v>925535.13513513503</v>
      </c>
      <c r="J1235" s="473">
        <f t="shared" si="49"/>
        <v>101808.86486486485</v>
      </c>
      <c r="K1235" s="474">
        <v>1027344</v>
      </c>
      <c r="L1235" s="475"/>
    </row>
    <row r="1236" spans="1:12" x14ac:dyDescent="0.2">
      <c r="A1236" s="305">
        <v>136</v>
      </c>
      <c r="B1236" s="485" t="s">
        <v>1598</v>
      </c>
      <c r="C1236" s="476" t="s">
        <v>5705</v>
      </c>
      <c r="D1236" s="464"/>
      <c r="E1236" s="465" t="s">
        <v>2881</v>
      </c>
      <c r="F1236" s="466" t="s">
        <v>2808</v>
      </c>
      <c r="G1236" s="750"/>
      <c r="H1236" s="477">
        <v>45122</v>
      </c>
      <c r="I1236" s="488">
        <f t="shared" si="48"/>
        <v>6508079.2792792786</v>
      </c>
      <c r="J1236" s="488">
        <f t="shared" si="49"/>
        <v>715888.72072072059</v>
      </c>
      <c r="K1236" s="474">
        <f>5762016+1181952+280000</f>
        <v>7223968</v>
      </c>
      <c r="L1236" s="475"/>
    </row>
    <row r="1237" spans="1:12" x14ac:dyDescent="0.2">
      <c r="A1237" s="517">
        <v>137</v>
      </c>
      <c r="B1237" s="783" t="s">
        <v>1599</v>
      </c>
      <c r="C1237" s="776" t="s">
        <v>6167</v>
      </c>
      <c r="D1237" s="777"/>
      <c r="E1237" s="778" t="s">
        <v>2933</v>
      </c>
      <c r="F1237" s="779" t="s">
        <v>2823</v>
      </c>
      <c r="G1237" s="777"/>
      <c r="H1237" s="780">
        <v>45120</v>
      </c>
      <c r="I1237" s="784">
        <f t="shared" si="48"/>
        <v>29218374.774774771</v>
      </c>
      <c r="J1237" s="784">
        <f t="shared" si="49"/>
        <v>3214021.2252252246</v>
      </c>
      <c r="K1237" s="782">
        <f>10995642+20036754+1400000</f>
        <v>32432396</v>
      </c>
      <c r="L1237" s="475"/>
    </row>
    <row r="1238" spans="1:12" x14ac:dyDescent="0.2">
      <c r="A1238" s="305">
        <v>138</v>
      </c>
      <c r="B1238" s="485" t="s">
        <v>1600</v>
      </c>
      <c r="C1238" s="476" t="s">
        <v>5674</v>
      </c>
      <c r="D1238" s="464"/>
      <c r="E1238" s="465" t="s">
        <v>2898</v>
      </c>
      <c r="F1238" s="466" t="s">
        <v>2823</v>
      </c>
      <c r="G1238" s="750"/>
      <c r="H1238" s="477">
        <v>45121</v>
      </c>
      <c r="I1238" s="488">
        <f t="shared" si="48"/>
        <v>34002872.072072066</v>
      </c>
      <c r="J1238" s="488">
        <f t="shared" si="49"/>
        <v>3740315.9279279271</v>
      </c>
      <c r="K1238" s="474">
        <f>10805148+21199622+5738418</f>
        <v>37743188</v>
      </c>
      <c r="L1238" s="475"/>
    </row>
    <row r="1239" spans="1:12" x14ac:dyDescent="0.2">
      <c r="A1239" s="517">
        <v>139</v>
      </c>
      <c r="B1239" s="469" t="s">
        <v>1601</v>
      </c>
      <c r="C1239" s="476" t="s">
        <v>5669</v>
      </c>
      <c r="D1239" s="464"/>
      <c r="E1239" s="465" t="s">
        <v>2945</v>
      </c>
      <c r="F1239" s="466" t="s">
        <v>2946</v>
      </c>
      <c r="G1239" s="750"/>
      <c r="H1239" s="477">
        <v>45120</v>
      </c>
      <c r="I1239" s="473">
        <f t="shared" si="48"/>
        <v>4995048.6486486485</v>
      </c>
      <c r="J1239" s="473">
        <f t="shared" si="49"/>
        <v>549455.35135135136</v>
      </c>
      <c r="K1239" s="474">
        <f>338580+529416+4676508</f>
        <v>5544504</v>
      </c>
      <c r="L1239" s="475"/>
    </row>
    <row r="1240" spans="1:12" x14ac:dyDescent="0.2">
      <c r="A1240" s="305">
        <v>140</v>
      </c>
      <c r="B1240" s="485" t="s">
        <v>1602</v>
      </c>
      <c r="C1240" s="476" t="s">
        <v>5689</v>
      </c>
      <c r="D1240" s="464"/>
      <c r="E1240" s="465" t="s">
        <v>2883</v>
      </c>
      <c r="F1240" s="466" t="s">
        <v>2884</v>
      </c>
      <c r="G1240" s="750"/>
      <c r="H1240" s="477">
        <v>45120</v>
      </c>
      <c r="I1240" s="488">
        <f t="shared" si="48"/>
        <v>9054648.6486486476</v>
      </c>
      <c r="J1240" s="488">
        <f t="shared" si="49"/>
        <v>996011.35135135124</v>
      </c>
      <c r="K1240" s="474">
        <f>5769180+2031480+2250000</f>
        <v>10050660</v>
      </c>
      <c r="L1240" s="475"/>
    </row>
    <row r="1241" spans="1:12" x14ac:dyDescent="0.2">
      <c r="A1241" s="517">
        <v>141</v>
      </c>
      <c r="B1241" s="469" t="s">
        <v>1603</v>
      </c>
      <c r="C1241" s="480" t="s">
        <v>5653</v>
      </c>
      <c r="D1241" s="481"/>
      <c r="E1241" s="482" t="s">
        <v>4043</v>
      </c>
      <c r="F1241" s="483" t="s">
        <v>2940</v>
      </c>
      <c r="G1241" s="750"/>
      <c r="H1241" s="484">
        <v>45138</v>
      </c>
      <c r="I1241" s="473">
        <f t="shared" si="48"/>
        <v>328597.29729729728</v>
      </c>
      <c r="J1241" s="473">
        <f t="shared" si="49"/>
        <v>36145.7027027027</v>
      </c>
      <c r="K1241" s="474">
        <v>364743</v>
      </c>
      <c r="L1241" s="475"/>
    </row>
    <row r="1242" spans="1:12" x14ac:dyDescent="0.2">
      <c r="A1242" s="305">
        <v>142</v>
      </c>
      <c r="B1242" s="485" t="s">
        <v>1604</v>
      </c>
      <c r="C1242" s="476" t="s">
        <v>5701</v>
      </c>
      <c r="D1242" s="464"/>
      <c r="E1242" s="465" t="s">
        <v>2893</v>
      </c>
      <c r="F1242" s="466" t="s">
        <v>2890</v>
      </c>
      <c r="G1242" s="750"/>
      <c r="H1242" s="477">
        <v>45121</v>
      </c>
      <c r="I1242" s="488">
        <f t="shared" si="48"/>
        <v>6040459.4594594585</v>
      </c>
      <c r="J1242" s="488">
        <f t="shared" si="49"/>
        <v>664450.54054054047</v>
      </c>
      <c r="K1242" s="474">
        <f>2221290+1462050+3021570</f>
        <v>6704910</v>
      </c>
      <c r="L1242" s="475"/>
    </row>
    <row r="1243" spans="1:12" x14ac:dyDescent="0.2">
      <c r="A1243" s="517">
        <v>143</v>
      </c>
      <c r="B1243" s="469" t="s">
        <v>1605</v>
      </c>
      <c r="C1243" s="476" t="s">
        <v>5667</v>
      </c>
      <c r="D1243" s="464"/>
      <c r="E1243" s="465" t="s">
        <v>2878</v>
      </c>
      <c r="F1243" s="466" t="s">
        <v>2879</v>
      </c>
      <c r="G1243" s="750"/>
      <c r="H1243" s="477">
        <v>45121</v>
      </c>
      <c r="I1243" s="473">
        <f t="shared" si="48"/>
        <v>3046572.9729729728</v>
      </c>
      <c r="J1243" s="473">
        <f t="shared" si="49"/>
        <v>335123.02702702698</v>
      </c>
      <c r="K1243" s="474">
        <f>2560896+820800</f>
        <v>3381696</v>
      </c>
      <c r="L1243" s="475"/>
    </row>
    <row r="1244" spans="1:12" x14ac:dyDescent="0.2">
      <c r="A1244" s="305">
        <v>144</v>
      </c>
      <c r="B1244" s="485" t="s">
        <v>1606</v>
      </c>
      <c r="C1244" s="476" t="s">
        <v>5660</v>
      </c>
      <c r="D1244" s="464"/>
      <c r="E1244" s="465" t="s">
        <v>5187</v>
      </c>
      <c r="F1244" s="466" t="s">
        <v>2828</v>
      </c>
      <c r="G1244" s="750"/>
      <c r="H1244" s="477">
        <v>45122</v>
      </c>
      <c r="I1244" s="488">
        <f t="shared" si="48"/>
        <v>16917908.108108107</v>
      </c>
      <c r="J1244" s="488">
        <f t="shared" si="49"/>
        <v>1860969.8918918918</v>
      </c>
      <c r="K1244" s="474">
        <v>18778878</v>
      </c>
      <c r="L1244" s="475"/>
    </row>
    <row r="1245" spans="1:12" x14ac:dyDescent="0.2">
      <c r="A1245" s="517">
        <v>145</v>
      </c>
      <c r="B1245" s="469" t="s">
        <v>1607</v>
      </c>
      <c r="C1245" s="476" t="s">
        <v>5662</v>
      </c>
      <c r="D1245" s="464"/>
      <c r="E1245" s="465" t="s">
        <v>3966</v>
      </c>
      <c r="F1245" s="466" t="s">
        <v>2858</v>
      </c>
      <c r="G1245" s="750"/>
      <c r="H1245" s="477">
        <v>45122</v>
      </c>
      <c r="I1245" s="473">
        <f t="shared" si="48"/>
        <v>4718637.8378378376</v>
      </c>
      <c r="J1245" s="473">
        <f t="shared" si="49"/>
        <v>519050.16216216213</v>
      </c>
      <c r="K1245" s="474">
        <v>5237688</v>
      </c>
      <c r="L1245" s="475"/>
    </row>
    <row r="1246" spans="1:12" x14ac:dyDescent="0.2">
      <c r="A1246" s="305">
        <v>146</v>
      </c>
      <c r="B1246" s="485" t="s">
        <v>1608</v>
      </c>
      <c r="C1246" s="480" t="s">
        <v>5774</v>
      </c>
      <c r="D1246" s="481"/>
      <c r="E1246" s="482" t="s">
        <v>5041</v>
      </c>
      <c r="F1246" s="483" t="s">
        <v>2828</v>
      </c>
      <c r="G1246" s="750"/>
      <c r="H1246" s="484">
        <v>45122</v>
      </c>
      <c r="I1246" s="488">
        <f t="shared" si="48"/>
        <v>20909075.675675675</v>
      </c>
      <c r="J1246" s="488">
        <f t="shared" si="49"/>
        <v>2299998.3243243243</v>
      </c>
      <c r="K1246" s="474">
        <f>18313074+4896000</f>
        <v>23209074</v>
      </c>
      <c r="L1246" s="475"/>
    </row>
    <row r="1247" spans="1:12" x14ac:dyDescent="0.2">
      <c r="A1247" s="517">
        <v>147</v>
      </c>
      <c r="B1247" s="469" t="s">
        <v>1609</v>
      </c>
      <c r="C1247" s="476" t="s">
        <v>5680</v>
      </c>
      <c r="D1247" s="464"/>
      <c r="E1247" s="465" t="s">
        <v>2934</v>
      </c>
      <c r="F1247" s="466" t="s">
        <v>2935</v>
      </c>
      <c r="G1247" s="750"/>
      <c r="H1247" s="477">
        <v>45122</v>
      </c>
      <c r="I1247" s="473">
        <f t="shared" si="48"/>
        <v>5585691.8918918911</v>
      </c>
      <c r="J1247" s="473">
        <f t="shared" si="49"/>
        <v>614426.10810810805</v>
      </c>
      <c r="K1247" s="474">
        <f>1077300+1780110+3342708</f>
        <v>6200118</v>
      </c>
      <c r="L1247" s="475"/>
    </row>
    <row r="1248" spans="1:12" x14ac:dyDescent="0.2">
      <c r="A1248" s="305">
        <v>148</v>
      </c>
      <c r="B1248" s="485" t="s">
        <v>1610</v>
      </c>
      <c r="C1248" s="476" t="s">
        <v>5690</v>
      </c>
      <c r="D1248" s="464"/>
      <c r="E1248" s="465" t="s">
        <v>2900</v>
      </c>
      <c r="F1248" s="466" t="s">
        <v>2823</v>
      </c>
      <c r="G1248" s="750"/>
      <c r="H1248" s="477">
        <v>45122</v>
      </c>
      <c r="I1248" s="488">
        <f t="shared" si="48"/>
        <v>34858735.135135129</v>
      </c>
      <c r="J1248" s="488">
        <f t="shared" si="49"/>
        <v>3834460.8648648644</v>
      </c>
      <c r="K1248" s="474">
        <f>20623284+7387200+10682712</f>
        <v>38693196</v>
      </c>
      <c r="L1248" s="475"/>
    </row>
    <row r="1249" spans="1:12" x14ac:dyDescent="0.2">
      <c r="A1249" s="517">
        <v>149</v>
      </c>
      <c r="B1249" s="469" t="s">
        <v>1611</v>
      </c>
      <c r="C1249" s="476" t="s">
        <v>5679</v>
      </c>
      <c r="D1249" s="464"/>
      <c r="E1249" s="465" t="s">
        <v>2907</v>
      </c>
      <c r="F1249" s="466" t="s">
        <v>2926</v>
      </c>
      <c r="G1249" s="750"/>
      <c r="H1249" s="477">
        <v>45124</v>
      </c>
      <c r="I1249" s="473">
        <f t="shared" si="48"/>
        <v>20230097.297297295</v>
      </c>
      <c r="J1249" s="473">
        <f t="shared" si="49"/>
        <v>2225310.7027027025</v>
      </c>
      <c r="K1249" s="474">
        <f>13260024+4800000+4395384</f>
        <v>22455408</v>
      </c>
      <c r="L1249" s="475"/>
    </row>
    <row r="1250" spans="1:12" x14ac:dyDescent="0.2">
      <c r="A1250" s="305">
        <v>150</v>
      </c>
      <c r="B1250" s="485" t="s">
        <v>1612</v>
      </c>
      <c r="C1250" s="476" t="s">
        <v>5704</v>
      </c>
      <c r="D1250" s="464"/>
      <c r="E1250" s="465" t="s">
        <v>2993</v>
      </c>
      <c r="F1250" s="466" t="s">
        <v>2994</v>
      </c>
      <c r="G1250" s="750"/>
      <c r="H1250" s="477">
        <v>45124</v>
      </c>
      <c r="I1250" s="488">
        <f t="shared" si="48"/>
        <v>7958432.4324324317</v>
      </c>
      <c r="J1250" s="488">
        <f t="shared" si="49"/>
        <v>875427.56756756746</v>
      </c>
      <c r="K1250" s="474">
        <f>2831760+2659392+3342708</f>
        <v>8833860</v>
      </c>
      <c r="L1250" s="475"/>
    </row>
    <row r="1251" spans="1:12" x14ac:dyDescent="0.2">
      <c r="A1251" s="517">
        <v>151</v>
      </c>
      <c r="B1251" s="469" t="s">
        <v>1613</v>
      </c>
      <c r="C1251" s="476" t="s">
        <v>5764</v>
      </c>
      <c r="D1251" s="464"/>
      <c r="E1251" s="465" t="s">
        <v>2885</v>
      </c>
      <c r="F1251" s="466" t="s">
        <v>2886</v>
      </c>
      <c r="G1251" s="750"/>
      <c r="H1251" s="477">
        <v>45124</v>
      </c>
      <c r="I1251" s="473">
        <f t="shared" si="48"/>
        <v>7712562.1621621614</v>
      </c>
      <c r="J1251" s="473">
        <f t="shared" si="49"/>
        <v>848381.83783783775</v>
      </c>
      <c r="K1251" s="474">
        <f>2560896+1026000+4974048</f>
        <v>8560944</v>
      </c>
      <c r="L1251" s="475"/>
    </row>
    <row r="1252" spans="1:12" x14ac:dyDescent="0.2">
      <c r="A1252" s="305">
        <v>152</v>
      </c>
      <c r="B1252" s="485" t="s">
        <v>1614</v>
      </c>
      <c r="C1252" s="476" t="s">
        <v>5766</v>
      </c>
      <c r="D1252" s="464"/>
      <c r="E1252" s="465" t="s">
        <v>3517</v>
      </c>
      <c r="F1252" s="466" t="s">
        <v>2912</v>
      </c>
      <c r="G1252" s="464"/>
      <c r="H1252" s="477">
        <v>45124</v>
      </c>
      <c r="I1252" s="488">
        <f t="shared" si="48"/>
        <v>10028918.918918919</v>
      </c>
      <c r="J1252" s="488">
        <f t="shared" si="49"/>
        <v>1103181.0810810812</v>
      </c>
      <c r="K1252" s="474">
        <f>4196340+6073920+861840</f>
        <v>11132100</v>
      </c>
      <c r="L1252" s="475"/>
    </row>
    <row r="1253" spans="1:12" x14ac:dyDescent="0.2">
      <c r="A1253" s="517">
        <v>153</v>
      </c>
      <c r="B1253" s="469" t="s">
        <v>1615</v>
      </c>
      <c r="C1253" s="476" t="s">
        <v>5692</v>
      </c>
      <c r="D1253" s="464"/>
      <c r="E1253" s="465" t="s">
        <v>2907</v>
      </c>
      <c r="F1253" s="466" t="s">
        <v>2858</v>
      </c>
      <c r="G1253" s="464"/>
      <c r="H1253" s="477">
        <v>45125</v>
      </c>
      <c r="I1253" s="473">
        <f t="shared" si="48"/>
        <v>12971967.567567566</v>
      </c>
      <c r="J1253" s="473">
        <f t="shared" si="49"/>
        <v>1426916.4324324324</v>
      </c>
      <c r="K1253" s="474">
        <f>2899476+5121792+6377616</f>
        <v>14398884</v>
      </c>
      <c r="L1253" s="475"/>
    </row>
    <row r="1254" spans="1:12" x14ac:dyDescent="0.2">
      <c r="A1254" s="305">
        <v>154</v>
      </c>
      <c r="B1254" s="485" t="s">
        <v>1616</v>
      </c>
      <c r="C1254" s="480" t="s">
        <v>5676</v>
      </c>
      <c r="D1254" s="481"/>
      <c r="E1254" s="482" t="s">
        <v>4582</v>
      </c>
      <c r="F1254" s="483" t="s">
        <v>2792</v>
      </c>
      <c r="G1254" s="513"/>
      <c r="H1254" s="484">
        <v>45125</v>
      </c>
      <c r="I1254" s="488">
        <f t="shared" si="48"/>
        <v>40039297.297297291</v>
      </c>
      <c r="J1254" s="488">
        <f t="shared" si="49"/>
        <v>4404322.702702702</v>
      </c>
      <c r="K1254" s="474">
        <f>4770900+29700000+9972720</f>
        <v>44443620</v>
      </c>
      <c r="L1254" s="475"/>
    </row>
    <row r="1255" spans="1:12" x14ac:dyDescent="0.2">
      <c r="A1255" s="517">
        <v>155</v>
      </c>
      <c r="B1255" s="469" t="s">
        <v>1617</v>
      </c>
      <c r="C1255" s="476" t="s">
        <v>5698</v>
      </c>
      <c r="D1255" s="464"/>
      <c r="E1255" s="465" t="s">
        <v>2939</v>
      </c>
      <c r="F1255" s="466" t="s">
        <v>2940</v>
      </c>
      <c r="G1255" s="464"/>
      <c r="H1255" s="477">
        <v>45127</v>
      </c>
      <c r="I1255" s="473">
        <f t="shared" si="48"/>
        <v>3846414.4144144142</v>
      </c>
      <c r="J1255" s="473">
        <f t="shared" si="49"/>
        <v>423105.58558558556</v>
      </c>
      <c r="K1255" s="474">
        <f>1450000+1260000+1559520</f>
        <v>4269520</v>
      </c>
      <c r="L1255" s="475"/>
    </row>
    <row r="1256" spans="1:12" x14ac:dyDescent="0.2">
      <c r="A1256" s="305">
        <v>156</v>
      </c>
      <c r="B1256" s="485" t="s">
        <v>1618</v>
      </c>
      <c r="C1256" s="476" t="s">
        <v>5693</v>
      </c>
      <c r="D1256" s="464"/>
      <c r="E1256" s="465" t="s">
        <v>2927</v>
      </c>
      <c r="F1256" s="466" t="s">
        <v>2928</v>
      </c>
      <c r="G1256" s="464"/>
      <c r="H1256" s="477">
        <v>45127</v>
      </c>
      <c r="I1256" s="488">
        <f t="shared" si="48"/>
        <v>5105967.5675675673</v>
      </c>
      <c r="J1256" s="488">
        <f t="shared" si="49"/>
        <v>561656.43243243243</v>
      </c>
      <c r="K1256" s="474">
        <f>2874852+2792772</f>
        <v>5667624</v>
      </c>
      <c r="L1256" s="475"/>
    </row>
    <row r="1257" spans="1:12" x14ac:dyDescent="0.2">
      <c r="A1257" s="517">
        <v>157</v>
      </c>
      <c r="B1257" s="469" t="s">
        <v>1619</v>
      </c>
      <c r="C1257" s="476" t="s">
        <v>5684</v>
      </c>
      <c r="D1257" s="464"/>
      <c r="E1257" s="465" t="s">
        <v>3020</v>
      </c>
      <c r="F1257" s="466" t="s">
        <v>3021</v>
      </c>
      <c r="G1257" s="464"/>
      <c r="H1257" s="477">
        <v>45127</v>
      </c>
      <c r="I1257" s="473">
        <f t="shared" si="48"/>
        <v>3553256.7567567565</v>
      </c>
      <c r="J1257" s="473">
        <f t="shared" si="49"/>
        <v>390858.2432432432</v>
      </c>
      <c r="K1257" s="474">
        <f>1209825+1277370+1456920</f>
        <v>3944115</v>
      </c>
      <c r="L1257" s="475"/>
    </row>
    <row r="1258" spans="1:12" x14ac:dyDescent="0.2">
      <c r="A1258" s="305">
        <v>158</v>
      </c>
      <c r="B1258" s="485" t="s">
        <v>1620</v>
      </c>
      <c r="C1258" s="476" t="s">
        <v>5773</v>
      </c>
      <c r="D1258" s="464"/>
      <c r="E1258" s="465" t="s">
        <v>2945</v>
      </c>
      <c r="F1258" s="466" t="s">
        <v>2946</v>
      </c>
      <c r="G1258" s="464"/>
      <c r="H1258" s="477">
        <v>45127</v>
      </c>
      <c r="I1258" s="488">
        <f t="shared" si="48"/>
        <v>12501535.135135135</v>
      </c>
      <c r="J1258" s="488">
        <f t="shared" si="49"/>
        <v>1375168.8648648649</v>
      </c>
      <c r="K1258" s="474">
        <f>945000+4672404+8259300</f>
        <v>13876704</v>
      </c>
      <c r="L1258" s="475"/>
    </row>
    <row r="1259" spans="1:12" x14ac:dyDescent="0.2">
      <c r="A1259" s="517">
        <v>159</v>
      </c>
      <c r="B1259" s="469" t="s">
        <v>1621</v>
      </c>
      <c r="C1259" s="480" t="s">
        <v>5700</v>
      </c>
      <c r="D1259" s="481"/>
      <c r="E1259" s="482" t="s">
        <v>3536</v>
      </c>
      <c r="F1259" s="483" t="s">
        <v>2877</v>
      </c>
      <c r="G1259" s="513"/>
      <c r="H1259" s="484">
        <v>45129</v>
      </c>
      <c r="I1259" s="473">
        <f t="shared" si="48"/>
        <v>17584345.945945945</v>
      </c>
      <c r="J1259" s="473">
        <f t="shared" si="49"/>
        <v>1934278.054054054</v>
      </c>
      <c r="K1259" s="474">
        <f>14405040+2565000+2548584</f>
        <v>19518624</v>
      </c>
      <c r="L1259" s="475"/>
    </row>
    <row r="1260" spans="1:12" x14ac:dyDescent="0.2">
      <c r="A1260" s="305">
        <v>160</v>
      </c>
      <c r="B1260" s="485" t="s">
        <v>1622</v>
      </c>
      <c r="C1260" s="476" t="s">
        <v>5775</v>
      </c>
      <c r="D1260" s="464"/>
      <c r="E1260" s="465" t="s">
        <v>2907</v>
      </c>
      <c r="F1260" s="466" t="s">
        <v>2926</v>
      </c>
      <c r="G1260" s="464"/>
      <c r="H1260" s="477">
        <v>45128</v>
      </c>
      <c r="I1260" s="488">
        <f t="shared" si="48"/>
        <v>26834059.459459458</v>
      </c>
      <c r="J1260" s="488">
        <f t="shared" si="49"/>
        <v>2951746.5405405401</v>
      </c>
      <c r="K1260" s="474">
        <f>9069840+13492926+7223040</f>
        <v>29785806</v>
      </c>
      <c r="L1260" s="475"/>
    </row>
    <row r="1261" spans="1:12" x14ac:dyDescent="0.2">
      <c r="A1261" s="517">
        <v>161</v>
      </c>
      <c r="B1261" s="783" t="s">
        <v>1623</v>
      </c>
      <c r="C1261" s="776" t="s">
        <v>6172</v>
      </c>
      <c r="D1261" s="777"/>
      <c r="E1261" s="778" t="s">
        <v>2937</v>
      </c>
      <c r="F1261" s="779" t="s">
        <v>2823</v>
      </c>
      <c r="G1261" s="777"/>
      <c r="H1261" s="780">
        <v>45128</v>
      </c>
      <c r="I1261" s="784">
        <f t="shared" si="48"/>
        <v>23265370.270270269</v>
      </c>
      <c r="J1261" s="784">
        <f t="shared" si="49"/>
        <v>2559190.7297297297</v>
      </c>
      <c r="K1261" s="782">
        <f>10965000+10737261+4122300</f>
        <v>25824561</v>
      </c>
      <c r="L1261" s="475"/>
    </row>
    <row r="1262" spans="1:12" x14ac:dyDescent="0.2">
      <c r="A1262" s="305">
        <v>162</v>
      </c>
      <c r="B1262" s="775" t="s">
        <v>1624</v>
      </c>
      <c r="C1262" s="776" t="s">
        <v>6176</v>
      </c>
      <c r="D1262" s="777"/>
      <c r="E1262" s="778" t="s">
        <v>2898</v>
      </c>
      <c r="F1262" s="779" t="s">
        <v>2823</v>
      </c>
      <c r="G1262" s="777"/>
      <c r="H1262" s="780">
        <v>45128</v>
      </c>
      <c r="I1262" s="781">
        <f t="shared" si="48"/>
        <v>23894099.099099096</v>
      </c>
      <c r="J1262" s="781">
        <f t="shared" si="49"/>
        <v>2628350.9009009004</v>
      </c>
      <c r="K1262" s="782">
        <f>7522550+15030900+3969000</f>
        <v>26522450</v>
      </c>
      <c r="L1262" s="475"/>
    </row>
    <row r="1263" spans="1:12" x14ac:dyDescent="0.2">
      <c r="A1263" s="517">
        <v>163</v>
      </c>
      <c r="B1263" s="783" t="s">
        <v>1625</v>
      </c>
      <c r="C1263" s="776" t="s">
        <v>6174</v>
      </c>
      <c r="D1263" s="777"/>
      <c r="E1263" s="778" t="s">
        <v>2947</v>
      </c>
      <c r="F1263" s="779" t="s">
        <v>2823</v>
      </c>
      <c r="G1263" s="777"/>
      <c r="H1263" s="780">
        <v>45124</v>
      </c>
      <c r="I1263" s="784">
        <f t="shared" si="48"/>
        <v>15724054.054054054</v>
      </c>
      <c r="J1263" s="784">
        <f t="shared" si="49"/>
        <v>1729645.9459459458</v>
      </c>
      <c r="K1263" s="782">
        <f>2186100+5540400+9727200</f>
        <v>17453700</v>
      </c>
      <c r="L1263" s="475"/>
    </row>
    <row r="1264" spans="1:12" x14ac:dyDescent="0.2">
      <c r="A1264" s="305">
        <v>164</v>
      </c>
      <c r="B1264" s="485" t="s">
        <v>1626</v>
      </c>
      <c r="C1264" s="476" t="s">
        <v>5695</v>
      </c>
      <c r="D1264" s="464"/>
      <c r="E1264" s="465" t="s">
        <v>2934</v>
      </c>
      <c r="F1264" s="466" t="s">
        <v>2935</v>
      </c>
      <c r="G1264" s="464"/>
      <c r="H1264" s="477">
        <v>45131</v>
      </c>
      <c r="I1264" s="488">
        <f t="shared" si="48"/>
        <v>10563165.765765766</v>
      </c>
      <c r="J1264" s="488">
        <f t="shared" si="49"/>
        <v>1161948.2342342343</v>
      </c>
      <c r="K1264" s="474">
        <f>10459044+1266070</f>
        <v>11725114</v>
      </c>
      <c r="L1264" s="475"/>
    </row>
    <row r="1265" spans="1:12" x14ac:dyDescent="0.2">
      <c r="A1265" s="517">
        <v>165</v>
      </c>
      <c r="B1265" s="469" t="s">
        <v>1627</v>
      </c>
      <c r="C1265" s="476" t="s">
        <v>5776</v>
      </c>
      <c r="D1265" s="464"/>
      <c r="E1265" s="465" t="s">
        <v>2936</v>
      </c>
      <c r="F1265" s="466" t="s">
        <v>2922</v>
      </c>
      <c r="G1265" s="464"/>
      <c r="H1265" s="477">
        <v>45128</v>
      </c>
      <c r="I1265" s="473">
        <f t="shared" si="48"/>
        <v>10883456.756756756</v>
      </c>
      <c r="J1265" s="473">
        <f t="shared" si="49"/>
        <v>1197180.2432432433</v>
      </c>
      <c r="K1265" s="474">
        <f>4704210+7376427</f>
        <v>12080637</v>
      </c>
      <c r="L1265" s="475"/>
    </row>
    <row r="1266" spans="1:12" x14ac:dyDescent="0.2">
      <c r="A1266" s="305">
        <v>166</v>
      </c>
      <c r="B1266" s="485" t="s">
        <v>1628</v>
      </c>
      <c r="C1266" s="476" t="s">
        <v>5759</v>
      </c>
      <c r="D1266" s="464"/>
      <c r="E1266" s="465" t="s">
        <v>2914</v>
      </c>
      <c r="F1266" s="466" t="s">
        <v>2915</v>
      </c>
      <c r="G1266" s="464"/>
      <c r="H1266" s="477">
        <v>45132</v>
      </c>
      <c r="I1266" s="488">
        <f t="shared" si="48"/>
        <v>4641186.4864864862</v>
      </c>
      <c r="J1266" s="488">
        <f t="shared" si="49"/>
        <v>510530.51351351349</v>
      </c>
      <c r="K1266" s="474">
        <f>4518504+633213</f>
        <v>5151717</v>
      </c>
      <c r="L1266" s="475"/>
    </row>
    <row r="1267" spans="1:12" x14ac:dyDescent="0.2">
      <c r="A1267" s="517">
        <v>167</v>
      </c>
      <c r="B1267" s="469" t="s">
        <v>1629</v>
      </c>
      <c r="C1267" s="480" t="s">
        <v>5813</v>
      </c>
      <c r="D1267" s="481"/>
      <c r="E1267" s="482" t="s">
        <v>2907</v>
      </c>
      <c r="F1267" s="483" t="s">
        <v>2908</v>
      </c>
      <c r="G1267" s="513"/>
      <c r="H1267" s="484">
        <v>45132</v>
      </c>
      <c r="I1267" s="473">
        <f t="shared" si="48"/>
        <v>10501740.540540539</v>
      </c>
      <c r="J1267" s="473">
        <f t="shared" si="49"/>
        <v>1155191.4594594592</v>
      </c>
      <c r="K1267" s="474">
        <f>7130016+4526916</f>
        <v>11656932</v>
      </c>
      <c r="L1267" s="475"/>
    </row>
    <row r="1268" spans="1:12" x14ac:dyDescent="0.2">
      <c r="A1268" s="305">
        <v>168</v>
      </c>
      <c r="B1268" s="485" t="s">
        <v>1630</v>
      </c>
      <c r="C1268" s="476" t="s">
        <v>5706</v>
      </c>
      <c r="D1268" s="464"/>
      <c r="E1268" s="465" t="s">
        <v>2913</v>
      </c>
      <c r="F1268" s="466" t="s">
        <v>2879</v>
      </c>
      <c r="G1268" s="464"/>
      <c r="H1268" s="477">
        <v>45124</v>
      </c>
      <c r="I1268" s="488">
        <f t="shared" si="48"/>
        <v>12464709.90990991</v>
      </c>
      <c r="J1268" s="488">
        <f t="shared" si="49"/>
        <v>1371118.0900900902</v>
      </c>
      <c r="K1268" s="474">
        <f>10182242+3653586</f>
        <v>13835828</v>
      </c>
      <c r="L1268" s="475"/>
    </row>
    <row r="1269" spans="1:12" x14ac:dyDescent="0.2">
      <c r="A1269" s="517">
        <v>169</v>
      </c>
      <c r="B1269" s="469" t="s">
        <v>1631</v>
      </c>
      <c r="C1269" s="476" t="s">
        <v>5697</v>
      </c>
      <c r="D1269" s="464"/>
      <c r="E1269" s="465" t="s">
        <v>2950</v>
      </c>
      <c r="F1269" s="466" t="s">
        <v>2951</v>
      </c>
      <c r="G1269" s="464"/>
      <c r="H1269" s="477">
        <v>45132</v>
      </c>
      <c r="I1269" s="473">
        <f t="shared" si="48"/>
        <v>817642.34234234225</v>
      </c>
      <c r="J1269" s="473">
        <f t="shared" si="49"/>
        <v>89940.657657657648</v>
      </c>
      <c r="K1269" s="474">
        <v>907583</v>
      </c>
      <c r="L1269" s="475"/>
    </row>
    <row r="1270" spans="1:12" x14ac:dyDescent="0.2">
      <c r="A1270" s="305">
        <v>170</v>
      </c>
      <c r="B1270" s="485" t="s">
        <v>1632</v>
      </c>
      <c r="C1270" s="476" t="s">
        <v>5767</v>
      </c>
      <c r="D1270" s="464"/>
      <c r="E1270" s="465" t="s">
        <v>6909</v>
      </c>
      <c r="F1270" s="466" t="s">
        <v>2886</v>
      </c>
      <c r="G1270" s="464"/>
      <c r="H1270" s="477">
        <v>45132</v>
      </c>
      <c r="I1270" s="488">
        <f t="shared" si="48"/>
        <v>2330221.6216216213</v>
      </c>
      <c r="J1270" s="488">
        <f t="shared" si="49"/>
        <v>256324.37837837834</v>
      </c>
      <c r="K1270" s="474">
        <f>1021896+769500+795150</f>
        <v>2586546</v>
      </c>
      <c r="L1270" s="475"/>
    </row>
    <row r="1271" spans="1:12" x14ac:dyDescent="0.2">
      <c r="A1271" s="517">
        <v>171</v>
      </c>
      <c r="B1271" s="469" t="s">
        <v>1633</v>
      </c>
      <c r="C1271" s="476" t="s">
        <v>5771</v>
      </c>
      <c r="D1271" s="464"/>
      <c r="E1271" s="465" t="s">
        <v>3129</v>
      </c>
      <c r="F1271" s="466" t="s">
        <v>3108</v>
      </c>
      <c r="G1271" s="464"/>
      <c r="H1271" s="477">
        <v>45127</v>
      </c>
      <c r="I1271" s="473">
        <f t="shared" si="48"/>
        <v>11003156.756756756</v>
      </c>
      <c r="J1271" s="473">
        <f t="shared" si="49"/>
        <v>1210347.2432432433</v>
      </c>
      <c r="K1271" s="474">
        <f>4801680+1305072+6106752</f>
        <v>12213504</v>
      </c>
      <c r="L1271" s="475"/>
    </row>
    <row r="1272" spans="1:12" x14ac:dyDescent="0.2">
      <c r="A1272" s="305">
        <v>172</v>
      </c>
      <c r="B1272" s="485" t="s">
        <v>1634</v>
      </c>
      <c r="C1272" s="476" t="s">
        <v>5762</v>
      </c>
      <c r="D1272" s="464"/>
      <c r="E1272" s="465" t="s">
        <v>2948</v>
      </c>
      <c r="F1272" s="466" t="s">
        <v>2892</v>
      </c>
      <c r="G1272" s="464"/>
      <c r="H1272" s="477">
        <v>45134</v>
      </c>
      <c r="I1272" s="488">
        <f t="shared" si="48"/>
        <v>9844054.0540540535</v>
      </c>
      <c r="J1272" s="488">
        <f t="shared" si="49"/>
        <v>1082845.9459459458</v>
      </c>
      <c r="K1272" s="474">
        <f>7089660+1805760+2031480</f>
        <v>10926900</v>
      </c>
      <c r="L1272" s="475"/>
    </row>
    <row r="1273" spans="1:12" x14ac:dyDescent="0.2">
      <c r="A1273" s="517">
        <v>173</v>
      </c>
      <c r="B1273" s="469" t="s">
        <v>1635</v>
      </c>
      <c r="C1273" s="476" t="s">
        <v>5752</v>
      </c>
      <c r="D1273" s="464"/>
      <c r="E1273" s="465" t="s">
        <v>3020</v>
      </c>
      <c r="F1273" s="466" t="s">
        <v>3021</v>
      </c>
      <c r="G1273" s="464"/>
      <c r="H1273" s="477">
        <v>45124</v>
      </c>
      <c r="I1273" s="473">
        <f t="shared" si="48"/>
        <v>47800199.999999993</v>
      </c>
      <c r="J1273" s="473">
        <f t="shared" si="49"/>
        <v>5258021.9999999991</v>
      </c>
      <c r="K1273" s="474">
        <f>35934282+13461120+3662820</f>
        <v>53058222</v>
      </c>
      <c r="L1273" s="475"/>
    </row>
    <row r="1274" spans="1:12" x14ac:dyDescent="0.2">
      <c r="A1274" s="305">
        <v>174</v>
      </c>
      <c r="B1274" s="485" t="s">
        <v>1636</v>
      </c>
      <c r="C1274" s="476" t="s">
        <v>5809</v>
      </c>
      <c r="D1274" s="464"/>
      <c r="E1274" s="465" t="s">
        <v>2907</v>
      </c>
      <c r="F1274" s="466" t="s">
        <v>2858</v>
      </c>
      <c r="G1274" s="464"/>
      <c r="H1274" s="477">
        <v>45135</v>
      </c>
      <c r="I1274" s="488">
        <f t="shared" si="48"/>
        <v>31700605.405405402</v>
      </c>
      <c r="J1274" s="488">
        <f t="shared" si="49"/>
        <v>3487066.5945945941</v>
      </c>
      <c r="K1274" s="474">
        <f>7645752+24541920+3000000</f>
        <v>35187672</v>
      </c>
      <c r="L1274" s="475"/>
    </row>
    <row r="1275" spans="1:12" x14ac:dyDescent="0.2">
      <c r="A1275" s="517">
        <v>175</v>
      </c>
      <c r="B1275" s="469" t="s">
        <v>1637</v>
      </c>
      <c r="C1275" s="476" t="s">
        <v>5756</v>
      </c>
      <c r="D1275" s="464"/>
      <c r="E1275" s="465" t="s">
        <v>2893</v>
      </c>
      <c r="F1275" s="466" t="s">
        <v>2890</v>
      </c>
      <c r="G1275" s="464"/>
      <c r="H1275" s="477">
        <v>45135</v>
      </c>
      <c r="I1275" s="473">
        <f t="shared" si="48"/>
        <v>8355891.8918918911</v>
      </c>
      <c r="J1275" s="473">
        <f t="shared" si="49"/>
        <v>919148.10810810805</v>
      </c>
      <c r="K1275" s="474">
        <f>1949400+3342708+3982932</f>
        <v>9275040</v>
      </c>
      <c r="L1275" s="475"/>
    </row>
    <row r="1276" spans="1:12" x14ac:dyDescent="0.2">
      <c r="A1276" s="305">
        <v>176</v>
      </c>
      <c r="B1276" s="485" t="s">
        <v>1638</v>
      </c>
      <c r="C1276" s="476" t="s">
        <v>5702</v>
      </c>
      <c r="D1276" s="464"/>
      <c r="E1276" s="465" t="s">
        <v>5703</v>
      </c>
      <c r="F1276" s="466" t="s">
        <v>2912</v>
      </c>
      <c r="G1276" s="464"/>
      <c r="H1276" s="477">
        <v>45135</v>
      </c>
      <c r="I1276" s="488">
        <f t="shared" si="48"/>
        <v>1513513.5135135134</v>
      </c>
      <c r="J1276" s="488">
        <f t="shared" si="49"/>
        <v>166486.48648648648</v>
      </c>
      <c r="K1276" s="474">
        <v>1680000</v>
      </c>
      <c r="L1276" s="475"/>
    </row>
    <row r="1277" spans="1:12" x14ac:dyDescent="0.2">
      <c r="A1277" s="517">
        <v>177</v>
      </c>
      <c r="B1277" s="783" t="s">
        <v>1639</v>
      </c>
      <c r="C1277" s="776" t="s">
        <v>6173</v>
      </c>
      <c r="D1277" s="777"/>
      <c r="E1277" s="778" t="s">
        <v>2904</v>
      </c>
      <c r="F1277" s="779" t="s">
        <v>2905</v>
      </c>
      <c r="G1277" s="777"/>
      <c r="H1277" s="780">
        <v>45124</v>
      </c>
      <c r="I1277" s="784">
        <f t="shared" si="48"/>
        <v>2981981.9819819815</v>
      </c>
      <c r="J1277" s="784">
        <f t="shared" si="49"/>
        <v>328018.01801801799</v>
      </c>
      <c r="K1277" s="782">
        <f>810000+2100000+400000</f>
        <v>3310000</v>
      </c>
      <c r="L1277" s="475"/>
    </row>
    <row r="1278" spans="1:12" x14ac:dyDescent="0.2">
      <c r="A1278" s="305">
        <v>178</v>
      </c>
      <c r="B1278" s="485" t="s">
        <v>1640</v>
      </c>
      <c r="C1278" s="480" t="s">
        <v>5709</v>
      </c>
      <c r="D1278" s="481"/>
      <c r="E1278" s="482" t="s">
        <v>3921</v>
      </c>
      <c r="F1278" s="483" t="s">
        <v>2873</v>
      </c>
      <c r="G1278" s="513"/>
      <c r="H1278" s="484">
        <v>45132</v>
      </c>
      <c r="I1278" s="488">
        <f t="shared" si="48"/>
        <v>406176.57657657657</v>
      </c>
      <c r="J1278" s="488">
        <f t="shared" si="49"/>
        <v>44679.423423423425</v>
      </c>
      <c r="K1278" s="474">
        <f>290800+160056</f>
        <v>450856</v>
      </c>
      <c r="L1278" s="475"/>
    </row>
    <row r="1279" spans="1:12" x14ac:dyDescent="0.2">
      <c r="A1279" s="517">
        <v>179</v>
      </c>
      <c r="B1279" s="469" t="s">
        <v>1641</v>
      </c>
      <c r="C1279" s="476" t="s">
        <v>5787</v>
      </c>
      <c r="D1279" s="464"/>
      <c r="E1279" s="465" t="s">
        <v>3087</v>
      </c>
      <c r="F1279" s="466" t="s">
        <v>2919</v>
      </c>
      <c r="G1279" s="464"/>
      <c r="H1279" s="477">
        <v>45125</v>
      </c>
      <c r="I1279" s="473">
        <f t="shared" si="48"/>
        <v>6245522.5225225221</v>
      </c>
      <c r="J1279" s="473">
        <f t="shared" si="49"/>
        <v>687007.4774774774</v>
      </c>
      <c r="K1279" s="474">
        <f>887063+6045467</f>
        <v>6932530</v>
      </c>
      <c r="L1279" s="475"/>
    </row>
    <row r="1280" spans="1:12" x14ac:dyDescent="0.2">
      <c r="A1280" s="305">
        <v>180</v>
      </c>
      <c r="B1280" s="485" t="s">
        <v>1642</v>
      </c>
      <c r="C1280" s="476" t="s">
        <v>5781</v>
      </c>
      <c r="D1280" s="464"/>
      <c r="E1280" s="465" t="s">
        <v>3024</v>
      </c>
      <c r="F1280" s="466" t="s">
        <v>3025</v>
      </c>
      <c r="G1280" s="464"/>
      <c r="H1280" s="477">
        <v>45128</v>
      </c>
      <c r="I1280" s="488">
        <f t="shared" si="48"/>
        <v>1480767.5675675673</v>
      </c>
      <c r="J1280" s="488">
        <f t="shared" si="49"/>
        <v>162884.4324324324</v>
      </c>
      <c r="K1280" s="474">
        <f>1415880+227772</f>
        <v>1643652</v>
      </c>
      <c r="L1280" s="475"/>
    </row>
    <row r="1281" spans="1:12" x14ac:dyDescent="0.2">
      <c r="A1281" s="517">
        <v>181</v>
      </c>
      <c r="B1281" s="469" t="s">
        <v>1643</v>
      </c>
      <c r="C1281" s="476" t="s">
        <v>5711</v>
      </c>
      <c r="D1281" s="464"/>
      <c r="E1281" s="465" t="s">
        <v>5250</v>
      </c>
      <c r="F1281" s="466" t="s">
        <v>5251</v>
      </c>
      <c r="G1281" s="464"/>
      <c r="H1281" s="477">
        <v>45128</v>
      </c>
      <c r="I1281" s="473">
        <f t="shared" si="48"/>
        <v>90090.090090090089</v>
      </c>
      <c r="J1281" s="473">
        <f t="shared" si="49"/>
        <v>9909.9099099099094</v>
      </c>
      <c r="K1281" s="474">
        <v>100000</v>
      </c>
      <c r="L1281" s="475"/>
    </row>
    <row r="1282" spans="1:12" x14ac:dyDescent="0.2">
      <c r="A1282" s="305">
        <v>182</v>
      </c>
      <c r="B1282" s="485" t="s">
        <v>1644</v>
      </c>
      <c r="C1282" s="476" t="s">
        <v>5712</v>
      </c>
      <c r="D1282" s="464"/>
      <c r="E1282" s="465" t="s">
        <v>3004</v>
      </c>
      <c r="F1282" s="466" t="s">
        <v>3006</v>
      </c>
      <c r="G1282" s="464"/>
      <c r="H1282" s="477">
        <v>45129</v>
      </c>
      <c r="I1282" s="488">
        <f t="shared" si="48"/>
        <v>1826003.6036036036</v>
      </c>
      <c r="J1282" s="488">
        <f t="shared" si="49"/>
        <v>200860.39639639639</v>
      </c>
      <c r="K1282" s="474">
        <f>473500+1553364</f>
        <v>2026864</v>
      </c>
      <c r="L1282" s="475"/>
    </row>
    <row r="1283" spans="1:12" x14ac:dyDescent="0.2">
      <c r="A1283" s="517">
        <v>183</v>
      </c>
      <c r="B1283" s="469" t="s">
        <v>1645</v>
      </c>
      <c r="C1283" s="480" t="s">
        <v>5713</v>
      </c>
      <c r="D1283" s="481"/>
      <c r="E1283" s="482" t="s">
        <v>5714</v>
      </c>
      <c r="F1283" s="483" t="s">
        <v>5715</v>
      </c>
      <c r="G1283" s="513"/>
      <c r="H1283" s="484">
        <v>45131</v>
      </c>
      <c r="I1283" s="473">
        <f t="shared" si="48"/>
        <v>765765.76576576568</v>
      </c>
      <c r="J1283" s="473">
        <f t="shared" si="49"/>
        <v>84234.234234234231</v>
      </c>
      <c r="K1283" s="474">
        <v>850000</v>
      </c>
      <c r="L1283" s="475"/>
    </row>
    <row r="1284" spans="1:12" x14ac:dyDescent="0.2">
      <c r="A1284" s="305">
        <v>184</v>
      </c>
      <c r="B1284" s="485" t="s">
        <v>1646</v>
      </c>
      <c r="C1284" s="476" t="s">
        <v>5716</v>
      </c>
      <c r="D1284" s="464"/>
      <c r="E1284" s="465" t="s">
        <v>3029</v>
      </c>
      <c r="F1284" s="466" t="s">
        <v>3025</v>
      </c>
      <c r="G1284" s="464"/>
      <c r="H1284" s="477">
        <v>45131</v>
      </c>
      <c r="I1284" s="488">
        <f t="shared" si="48"/>
        <v>356756.75675675675</v>
      </c>
      <c r="J1284" s="488">
        <f t="shared" si="49"/>
        <v>39243.24324324324</v>
      </c>
      <c r="K1284" s="474">
        <v>396000</v>
      </c>
      <c r="L1284" s="475"/>
    </row>
    <row r="1285" spans="1:12" x14ac:dyDescent="0.2">
      <c r="A1285" s="517">
        <v>185</v>
      </c>
      <c r="B1285" s="469" t="s">
        <v>1647</v>
      </c>
      <c r="C1285" s="476" t="s">
        <v>5777</v>
      </c>
      <c r="D1285" s="464"/>
      <c r="E1285" s="465" t="s">
        <v>3536</v>
      </c>
      <c r="F1285" s="466" t="s">
        <v>2877</v>
      </c>
      <c r="G1285" s="464"/>
      <c r="H1285" s="477">
        <v>45128</v>
      </c>
      <c r="I1285" s="473">
        <f t="shared" si="48"/>
        <v>5587540.5405405397</v>
      </c>
      <c r="J1285" s="473">
        <f t="shared" si="49"/>
        <v>614629.45945945941</v>
      </c>
      <c r="K1285" s="474">
        <f>6073920+128250</f>
        <v>6202170</v>
      </c>
      <c r="L1285" s="475"/>
    </row>
    <row r="1286" spans="1:12" x14ac:dyDescent="0.2">
      <c r="A1286" s="305">
        <v>186</v>
      </c>
      <c r="B1286" s="485" t="s">
        <v>1648</v>
      </c>
      <c r="C1286" s="476" t="s">
        <v>5717</v>
      </c>
      <c r="D1286" s="464"/>
      <c r="E1286" s="465" t="s">
        <v>5718</v>
      </c>
      <c r="F1286" s="466" t="s">
        <v>3025</v>
      </c>
      <c r="G1286" s="464"/>
      <c r="H1286" s="477">
        <v>45131</v>
      </c>
      <c r="I1286" s="488">
        <f t="shared" si="48"/>
        <v>110918.91891891891</v>
      </c>
      <c r="J1286" s="488">
        <f t="shared" si="49"/>
        <v>12201.08108108108</v>
      </c>
      <c r="K1286" s="474">
        <v>123120</v>
      </c>
      <c r="L1286" s="475"/>
    </row>
    <row r="1287" spans="1:12" x14ac:dyDescent="0.2">
      <c r="A1287" s="517">
        <v>187</v>
      </c>
      <c r="B1287" s="469" t="s">
        <v>1649</v>
      </c>
      <c r="C1287" s="476" t="s">
        <v>5719</v>
      </c>
      <c r="D1287" s="464"/>
      <c r="E1287" s="465" t="s">
        <v>2918</v>
      </c>
      <c r="F1287" s="466" t="s">
        <v>2919</v>
      </c>
      <c r="G1287" s="464"/>
      <c r="H1287" s="477">
        <v>45132</v>
      </c>
      <c r="I1287" s="473">
        <f t="shared" si="48"/>
        <v>4385687.3873873875</v>
      </c>
      <c r="J1287" s="473">
        <f t="shared" si="49"/>
        <v>482425.6126126126</v>
      </c>
      <c r="K1287" s="474">
        <v>4868113</v>
      </c>
      <c r="L1287" s="475"/>
    </row>
    <row r="1288" spans="1:12" x14ac:dyDescent="0.2">
      <c r="A1288" s="305">
        <v>188</v>
      </c>
      <c r="B1288" s="485" t="s">
        <v>1650</v>
      </c>
      <c r="C1288" s="476" t="s">
        <v>5755</v>
      </c>
      <c r="D1288" s="464"/>
      <c r="E1288" s="465" t="s">
        <v>2910</v>
      </c>
      <c r="F1288" s="466" t="s">
        <v>2851</v>
      </c>
      <c r="G1288" s="464"/>
      <c r="H1288" s="477">
        <v>45134</v>
      </c>
      <c r="I1288" s="488">
        <f t="shared" si="48"/>
        <v>1362162.1621621621</v>
      </c>
      <c r="J1288" s="488">
        <f t="shared" si="49"/>
        <v>149837.83783783784</v>
      </c>
      <c r="K1288" s="474">
        <v>1512000</v>
      </c>
      <c r="L1288" s="475"/>
    </row>
    <row r="1289" spans="1:12" x14ac:dyDescent="0.2">
      <c r="A1289" s="517">
        <v>189</v>
      </c>
      <c r="B1289" s="469" t="s">
        <v>1651</v>
      </c>
      <c r="C1289" s="476" t="s">
        <v>5757</v>
      </c>
      <c r="D1289" s="464"/>
      <c r="E1289" s="465" t="s">
        <v>2916</v>
      </c>
      <c r="F1289" s="466" t="s">
        <v>2917</v>
      </c>
      <c r="G1289" s="464"/>
      <c r="H1289" s="477">
        <v>45135</v>
      </c>
      <c r="I1289" s="473">
        <f t="shared" si="48"/>
        <v>3108617.1171171167</v>
      </c>
      <c r="J1289" s="473">
        <f t="shared" si="49"/>
        <v>341947.88288288284</v>
      </c>
      <c r="K1289" s="474">
        <v>3450565</v>
      </c>
      <c r="L1289" s="475"/>
    </row>
    <row r="1290" spans="1:12" x14ac:dyDescent="0.2">
      <c r="A1290" s="305">
        <v>190</v>
      </c>
      <c r="B1290" s="485" t="s">
        <v>1652</v>
      </c>
      <c r="C1290" s="476" t="s">
        <v>5758</v>
      </c>
      <c r="D1290" s="464"/>
      <c r="E1290" s="465" t="s">
        <v>3553</v>
      </c>
      <c r="F1290" s="466" t="s">
        <v>2908</v>
      </c>
      <c r="G1290" s="464"/>
      <c r="H1290" s="477">
        <v>45138</v>
      </c>
      <c r="I1290" s="488">
        <f t="shared" si="48"/>
        <v>1711848.6486486485</v>
      </c>
      <c r="J1290" s="488">
        <f t="shared" si="49"/>
        <v>188303.35135135133</v>
      </c>
      <c r="K1290" s="474">
        <v>1900152</v>
      </c>
      <c r="L1290" s="475"/>
    </row>
    <row r="1291" spans="1:12" x14ac:dyDescent="0.2">
      <c r="A1291" s="517">
        <v>191</v>
      </c>
      <c r="B1291" s="469" t="s">
        <v>1653</v>
      </c>
      <c r="C1291" s="480" t="s">
        <v>5761</v>
      </c>
      <c r="D1291" s="481"/>
      <c r="E1291" s="482" t="s">
        <v>2907</v>
      </c>
      <c r="F1291" s="483" t="s">
        <v>2792</v>
      </c>
      <c r="G1291" s="513"/>
      <c r="H1291" s="484">
        <v>45138</v>
      </c>
      <c r="I1291" s="473">
        <f t="shared" si="48"/>
        <v>798411.7117117116</v>
      </c>
      <c r="J1291" s="473">
        <f t="shared" si="49"/>
        <v>87825.28828828827</v>
      </c>
      <c r="K1291" s="474">
        <v>886237</v>
      </c>
      <c r="L1291" s="475"/>
    </row>
    <row r="1292" spans="1:12" x14ac:dyDescent="0.2">
      <c r="A1292" s="305">
        <v>192</v>
      </c>
      <c r="B1292" s="485" t="s">
        <v>1654</v>
      </c>
      <c r="C1292" s="476" t="s">
        <v>5769</v>
      </c>
      <c r="D1292" s="464"/>
      <c r="E1292" s="465" t="s">
        <v>2883</v>
      </c>
      <c r="F1292" s="466" t="s">
        <v>2884</v>
      </c>
      <c r="G1292" s="464"/>
      <c r="H1292" s="477">
        <v>45127</v>
      </c>
      <c r="I1292" s="488">
        <f t="shared" si="48"/>
        <v>6793279.2792792786</v>
      </c>
      <c r="J1292" s="488">
        <f t="shared" si="49"/>
        <v>747260.72072072059</v>
      </c>
      <c r="K1292" s="474">
        <f>5940540+1600000</f>
        <v>7540540</v>
      </c>
      <c r="L1292" s="475"/>
    </row>
    <row r="1293" spans="1:12" x14ac:dyDescent="0.2">
      <c r="A1293" s="517">
        <v>193</v>
      </c>
      <c r="B1293" s="469" t="s">
        <v>1655</v>
      </c>
      <c r="C1293" s="476" t="s">
        <v>5791</v>
      </c>
      <c r="D1293" s="464"/>
      <c r="E1293" s="465" t="s">
        <v>2907</v>
      </c>
      <c r="F1293" s="466" t="s">
        <v>2908</v>
      </c>
      <c r="G1293" s="464"/>
      <c r="H1293" s="477">
        <v>45131</v>
      </c>
      <c r="I1293" s="473">
        <f t="shared" si="48"/>
        <v>6609813.5135135129</v>
      </c>
      <c r="J1293" s="473">
        <f t="shared" si="49"/>
        <v>727079.48648648639</v>
      </c>
      <c r="K1293" s="474">
        <f>150000+6782136+404757</f>
        <v>7336893</v>
      </c>
      <c r="L1293" s="475"/>
    </row>
    <row r="1294" spans="1:12" x14ac:dyDescent="0.2">
      <c r="A1294" s="305">
        <v>194</v>
      </c>
      <c r="B1294" s="485" t="s">
        <v>1656</v>
      </c>
      <c r="C1294" s="476" t="s">
        <v>5763</v>
      </c>
      <c r="D1294" s="464"/>
      <c r="E1294" s="465" t="s">
        <v>2894</v>
      </c>
      <c r="F1294" s="466" t="s">
        <v>2851</v>
      </c>
      <c r="G1294" s="464"/>
      <c r="H1294" s="477">
        <v>45138</v>
      </c>
      <c r="I1294" s="488">
        <f t="shared" si="48"/>
        <v>4547675.6756756753</v>
      </c>
      <c r="J1294" s="488">
        <f t="shared" si="49"/>
        <v>500244.32432432426</v>
      </c>
      <c r="K1294" s="474">
        <v>5047920</v>
      </c>
      <c r="L1294" s="475"/>
    </row>
    <row r="1295" spans="1:12" x14ac:dyDescent="0.2">
      <c r="A1295" s="517">
        <v>195</v>
      </c>
      <c r="B1295" s="469" t="s">
        <v>1657</v>
      </c>
      <c r="C1295" s="476" t="s">
        <v>5765</v>
      </c>
      <c r="D1295" s="464"/>
      <c r="E1295" s="465" t="s">
        <v>3992</v>
      </c>
      <c r="F1295" s="466" t="s">
        <v>2953</v>
      </c>
      <c r="G1295" s="464"/>
      <c r="H1295" s="477">
        <v>45138</v>
      </c>
      <c r="I1295" s="473">
        <f t="shared" si="48"/>
        <v>4192735.1351351347</v>
      </c>
      <c r="J1295" s="473">
        <f t="shared" si="49"/>
        <v>461200.86486486479</v>
      </c>
      <c r="K1295" s="474">
        <v>4653936</v>
      </c>
      <c r="L1295" s="475"/>
    </row>
    <row r="1296" spans="1:12" x14ac:dyDescent="0.2">
      <c r="A1296" s="305">
        <v>196</v>
      </c>
      <c r="B1296" s="485" t="s">
        <v>1658</v>
      </c>
      <c r="C1296" s="476" t="s">
        <v>5768</v>
      </c>
      <c r="D1296" s="464"/>
      <c r="E1296" s="465" t="s">
        <v>3082</v>
      </c>
      <c r="F1296" s="466" t="s">
        <v>3061</v>
      </c>
      <c r="G1296" s="464"/>
      <c r="H1296" s="477">
        <v>45138</v>
      </c>
      <c r="I1296" s="488">
        <f t="shared" si="48"/>
        <v>5131531.5315315314</v>
      </c>
      <c r="J1296" s="488">
        <f t="shared" si="49"/>
        <v>564468.4684684684</v>
      </c>
      <c r="K1296" s="474">
        <f>4928000+768000</f>
        <v>5696000</v>
      </c>
      <c r="L1296" s="475"/>
    </row>
    <row r="1297" spans="1:12" x14ac:dyDescent="0.2">
      <c r="A1297" s="517">
        <v>197</v>
      </c>
      <c r="B1297" s="469" t="s">
        <v>1659</v>
      </c>
      <c r="C1297" s="476" t="s">
        <v>5798</v>
      </c>
      <c r="D1297" s="464"/>
      <c r="E1297" s="465" t="s">
        <v>2891</v>
      </c>
      <c r="F1297" s="466" t="s">
        <v>3047</v>
      </c>
      <c r="G1297" s="464"/>
      <c r="H1297" s="477">
        <v>45134</v>
      </c>
      <c r="I1297" s="473">
        <f t="shared" si="48"/>
        <v>8233576.5765765756</v>
      </c>
      <c r="J1297" s="473">
        <f t="shared" si="49"/>
        <v>905693.42342342332</v>
      </c>
      <c r="K1297" s="474">
        <f>6664020+2089500+385750</f>
        <v>9139270</v>
      </c>
      <c r="L1297" s="475"/>
    </row>
    <row r="1298" spans="1:12" x14ac:dyDescent="0.2">
      <c r="A1298" s="305">
        <v>198</v>
      </c>
      <c r="B1298" s="485" t="s">
        <v>1660</v>
      </c>
      <c r="C1298" s="480" t="s">
        <v>5772</v>
      </c>
      <c r="D1298" s="481"/>
      <c r="E1298" s="482" t="s">
        <v>3474</v>
      </c>
      <c r="F1298" s="483" t="s">
        <v>2755</v>
      </c>
      <c r="G1298" s="513"/>
      <c r="H1298" s="484">
        <v>45127</v>
      </c>
      <c r="I1298" s="488">
        <f t="shared" si="48"/>
        <v>2218378.3783783782</v>
      </c>
      <c r="J1298" s="488">
        <f t="shared" si="49"/>
        <v>244021.6216216216</v>
      </c>
      <c r="K1298" s="474">
        <v>2462400</v>
      </c>
      <c r="L1298" s="475"/>
    </row>
    <row r="1299" spans="1:12" x14ac:dyDescent="0.2">
      <c r="A1299" s="517">
        <v>199</v>
      </c>
      <c r="B1299" s="469" t="s">
        <v>1661</v>
      </c>
      <c r="C1299" s="476" t="s">
        <v>5797</v>
      </c>
      <c r="D1299" s="464"/>
      <c r="E1299" s="465" t="s">
        <v>2948</v>
      </c>
      <c r="F1299" s="466" t="s">
        <v>2892</v>
      </c>
      <c r="G1299" s="464"/>
      <c r="H1299" s="477">
        <v>45128</v>
      </c>
      <c r="I1299" s="473">
        <f t="shared" si="48"/>
        <v>3272108.1081081079</v>
      </c>
      <c r="J1299" s="473">
        <f t="shared" si="49"/>
        <v>359931.89189189189</v>
      </c>
      <c r="K1299" s="474">
        <f>2277720+1354320</f>
        <v>3632040</v>
      </c>
      <c r="L1299" s="475"/>
    </row>
    <row r="1300" spans="1:12" x14ac:dyDescent="0.2">
      <c r="A1300" s="305">
        <v>200</v>
      </c>
      <c r="B1300" s="485" t="s">
        <v>1662</v>
      </c>
      <c r="C1300" s="476" t="s">
        <v>5779</v>
      </c>
      <c r="D1300" s="464"/>
      <c r="E1300" s="465" t="s">
        <v>2906</v>
      </c>
      <c r="F1300" s="466" t="s">
        <v>2892</v>
      </c>
      <c r="G1300" s="464"/>
      <c r="H1300" s="477">
        <v>45128</v>
      </c>
      <c r="I1300" s="488">
        <f t="shared" si="48"/>
        <v>1461405.4054054052</v>
      </c>
      <c r="J1300" s="488">
        <f t="shared" si="49"/>
        <v>160754.59459459459</v>
      </c>
      <c r="K1300" s="474">
        <f>945000+677160</f>
        <v>1622160</v>
      </c>
      <c r="L1300" s="475"/>
    </row>
    <row r="1301" spans="1:12" x14ac:dyDescent="0.2">
      <c r="A1301" s="517">
        <v>201</v>
      </c>
      <c r="B1301" s="469" t="s">
        <v>1663</v>
      </c>
      <c r="C1301" s="476" t="s">
        <v>5778</v>
      </c>
      <c r="D1301" s="464"/>
      <c r="E1301" s="465" t="s">
        <v>2991</v>
      </c>
      <c r="F1301" s="466" t="s">
        <v>2886</v>
      </c>
      <c r="G1301" s="464"/>
      <c r="H1301" s="477">
        <v>45128</v>
      </c>
      <c r="I1301" s="488">
        <f t="shared" ref="I1301:I1311" si="50">K1301/1.11</f>
        <v>630630.63063063053</v>
      </c>
      <c r="J1301" s="488">
        <f t="shared" ref="J1301:J1311" si="51">I1301*11%</f>
        <v>69369.369369369364</v>
      </c>
      <c r="K1301" s="474">
        <v>700000</v>
      </c>
      <c r="L1301" s="475"/>
    </row>
    <row r="1302" spans="1:12" x14ac:dyDescent="0.2">
      <c r="A1302" s="305">
        <v>202</v>
      </c>
      <c r="B1302" s="485" t="s">
        <v>5720</v>
      </c>
      <c r="C1302" s="476" t="s">
        <v>5782</v>
      </c>
      <c r="D1302" s="464"/>
      <c r="E1302" s="465" t="s">
        <v>5783</v>
      </c>
      <c r="F1302" s="466" t="s">
        <v>2886</v>
      </c>
      <c r="G1302" s="464"/>
      <c r="H1302" s="477">
        <v>45131</v>
      </c>
      <c r="I1302" s="473">
        <f t="shared" si="50"/>
        <v>600810.81081081077</v>
      </c>
      <c r="J1302" s="473">
        <f t="shared" si="51"/>
        <v>66089.189189189186</v>
      </c>
      <c r="K1302" s="474">
        <v>666900</v>
      </c>
      <c r="L1302" s="475"/>
    </row>
    <row r="1303" spans="1:12" x14ac:dyDescent="0.2">
      <c r="A1303" s="517">
        <v>203</v>
      </c>
      <c r="B1303" s="469" t="s">
        <v>5721</v>
      </c>
      <c r="C1303" s="476" t="s">
        <v>5784</v>
      </c>
      <c r="D1303" s="464"/>
      <c r="E1303" s="465" t="s">
        <v>6909</v>
      </c>
      <c r="F1303" s="466" t="s">
        <v>2886</v>
      </c>
      <c r="G1303" s="464"/>
      <c r="H1303" s="477">
        <v>45131</v>
      </c>
      <c r="I1303" s="488">
        <f t="shared" si="50"/>
        <v>1838481.0810810809</v>
      </c>
      <c r="J1303" s="488">
        <f t="shared" si="51"/>
        <v>202232.91891891891</v>
      </c>
      <c r="K1303" s="474">
        <v>2040714</v>
      </c>
      <c r="L1303" s="475"/>
    </row>
    <row r="1304" spans="1:12" x14ac:dyDescent="0.2">
      <c r="A1304" s="305">
        <v>204</v>
      </c>
      <c r="B1304" s="485" t="s">
        <v>5722</v>
      </c>
      <c r="C1304" s="480" t="s">
        <v>5785</v>
      </c>
      <c r="D1304" s="481"/>
      <c r="E1304" s="482" t="s">
        <v>3087</v>
      </c>
      <c r="F1304" s="483" t="s">
        <v>2892</v>
      </c>
      <c r="G1304" s="513"/>
      <c r="H1304" s="484">
        <v>45131</v>
      </c>
      <c r="I1304" s="473">
        <f t="shared" si="50"/>
        <v>461592.79279279278</v>
      </c>
      <c r="J1304" s="473">
        <f t="shared" si="51"/>
        <v>50775.207207207204</v>
      </c>
      <c r="K1304" s="474">
        <v>512368</v>
      </c>
      <c r="L1304" s="475"/>
    </row>
    <row r="1305" spans="1:12" x14ac:dyDescent="0.2">
      <c r="A1305" s="517">
        <v>205</v>
      </c>
      <c r="B1305" s="469" t="s">
        <v>5723</v>
      </c>
      <c r="C1305" s="476" t="s">
        <v>5808</v>
      </c>
      <c r="D1305" s="464"/>
      <c r="E1305" s="465" t="s">
        <v>2954</v>
      </c>
      <c r="F1305" s="466" t="s">
        <v>2955</v>
      </c>
      <c r="G1305" s="464"/>
      <c r="H1305" s="477">
        <v>45131</v>
      </c>
      <c r="I1305" s="488">
        <f t="shared" si="50"/>
        <v>4995686.4864864862</v>
      </c>
      <c r="J1305" s="488">
        <f t="shared" si="51"/>
        <v>549525.51351351349</v>
      </c>
      <c r="K1305" s="474">
        <f>4332798+1212414</f>
        <v>5545212</v>
      </c>
      <c r="L1305" s="475"/>
    </row>
    <row r="1306" spans="1:12" x14ac:dyDescent="0.2">
      <c r="A1306" s="305">
        <v>206</v>
      </c>
      <c r="B1306" s="485" t="s">
        <v>5724</v>
      </c>
      <c r="C1306" s="476" t="s">
        <v>5786</v>
      </c>
      <c r="D1306" s="464"/>
      <c r="E1306" s="465" t="s">
        <v>3471</v>
      </c>
      <c r="F1306" s="466" t="s">
        <v>3472</v>
      </c>
      <c r="G1306" s="464"/>
      <c r="H1306" s="477">
        <v>45131</v>
      </c>
      <c r="I1306" s="473">
        <f t="shared" si="50"/>
        <v>231081.08108108107</v>
      </c>
      <c r="J1306" s="473">
        <f t="shared" si="51"/>
        <v>25418.918918918916</v>
      </c>
      <c r="K1306" s="474">
        <v>256500</v>
      </c>
      <c r="L1306" s="475"/>
    </row>
    <row r="1307" spans="1:12" x14ac:dyDescent="0.2">
      <c r="A1307" s="517">
        <v>207</v>
      </c>
      <c r="B1307" s="469" t="s">
        <v>5725</v>
      </c>
      <c r="C1307" s="476" t="s">
        <v>5788</v>
      </c>
      <c r="D1307" s="464"/>
      <c r="E1307" s="465" t="s">
        <v>5789</v>
      </c>
      <c r="F1307" s="466" t="s">
        <v>5284</v>
      </c>
      <c r="G1307" s="464"/>
      <c r="H1307" s="477">
        <v>45133</v>
      </c>
      <c r="I1307" s="488">
        <f t="shared" si="50"/>
        <v>623918.91891891882</v>
      </c>
      <c r="J1307" s="488">
        <f t="shared" si="51"/>
        <v>68631.081081081065</v>
      </c>
      <c r="K1307" s="474">
        <v>692550</v>
      </c>
      <c r="L1307" s="475"/>
    </row>
    <row r="1308" spans="1:12" x14ac:dyDescent="0.2">
      <c r="A1308" s="305">
        <v>208</v>
      </c>
      <c r="B1308" s="485" t="s">
        <v>5726</v>
      </c>
      <c r="C1308" s="476" t="s">
        <v>5790</v>
      </c>
      <c r="D1308" s="464"/>
      <c r="E1308" s="465" t="s">
        <v>3556</v>
      </c>
      <c r="F1308" s="466" t="s">
        <v>3061</v>
      </c>
      <c r="G1308" s="464"/>
      <c r="H1308" s="477">
        <v>45134</v>
      </c>
      <c r="I1308" s="473">
        <f t="shared" si="50"/>
        <v>4325837.8378378376</v>
      </c>
      <c r="J1308" s="473">
        <f t="shared" si="51"/>
        <v>475842.16216216213</v>
      </c>
      <c r="K1308" s="474">
        <v>4801680</v>
      </c>
      <c r="L1308" s="475"/>
    </row>
    <row r="1309" spans="1:12" x14ac:dyDescent="0.2">
      <c r="A1309" s="517">
        <v>209</v>
      </c>
      <c r="B1309" s="469" t="s">
        <v>5727</v>
      </c>
      <c r="C1309" s="476" t="s">
        <v>5792</v>
      </c>
      <c r="D1309" s="464"/>
      <c r="E1309" s="465" t="s">
        <v>2891</v>
      </c>
      <c r="F1309" s="466" t="s">
        <v>2873</v>
      </c>
      <c r="G1309" s="464"/>
      <c r="H1309" s="477">
        <v>45134</v>
      </c>
      <c r="I1309" s="488">
        <f t="shared" si="50"/>
        <v>517621.6216216216</v>
      </c>
      <c r="J1309" s="488">
        <f t="shared" si="51"/>
        <v>56938.378378378373</v>
      </c>
      <c r="K1309" s="474">
        <v>574560</v>
      </c>
      <c r="L1309" s="475"/>
    </row>
    <row r="1310" spans="1:12" x14ac:dyDescent="0.2">
      <c r="A1310" s="305">
        <v>210</v>
      </c>
      <c r="B1310" s="485" t="s">
        <v>5728</v>
      </c>
      <c r="C1310" s="476" t="s">
        <v>5795</v>
      </c>
      <c r="D1310" s="464"/>
      <c r="E1310" s="465" t="s">
        <v>5796</v>
      </c>
      <c r="F1310" s="466" t="s">
        <v>2755</v>
      </c>
      <c r="G1310" s="464"/>
      <c r="H1310" s="477">
        <v>45134</v>
      </c>
      <c r="I1310" s="473">
        <f t="shared" si="50"/>
        <v>1729729.7297297295</v>
      </c>
      <c r="J1310" s="473">
        <f t="shared" si="51"/>
        <v>190270.27027027024</v>
      </c>
      <c r="K1310" s="474">
        <v>1920000</v>
      </c>
      <c r="L1310" s="475"/>
    </row>
    <row r="1311" spans="1:12" x14ac:dyDescent="0.2">
      <c r="A1311" s="517">
        <v>211</v>
      </c>
      <c r="B1311" s="469" t="s">
        <v>5729</v>
      </c>
      <c r="C1311" s="480" t="s">
        <v>5799</v>
      </c>
      <c r="D1311" s="481"/>
      <c r="E1311" s="482" t="s">
        <v>2885</v>
      </c>
      <c r="F1311" s="483" t="s">
        <v>2886</v>
      </c>
      <c r="G1311" s="513"/>
      <c r="H1311" s="484">
        <v>45135</v>
      </c>
      <c r="I1311" s="488">
        <f t="shared" si="50"/>
        <v>808783.78378378367</v>
      </c>
      <c r="J1311" s="488">
        <f t="shared" si="51"/>
        <v>88966.216216216199</v>
      </c>
      <c r="K1311" s="474">
        <v>897750</v>
      </c>
      <c r="L1311" s="475"/>
    </row>
    <row r="1312" spans="1:12" x14ac:dyDescent="0.2">
      <c r="A1312" s="305">
        <v>212</v>
      </c>
      <c r="B1312" s="485" t="s">
        <v>5730</v>
      </c>
      <c r="C1312" s="476" t="s">
        <v>5800</v>
      </c>
      <c r="D1312" s="464"/>
      <c r="E1312" s="465" t="s">
        <v>4000</v>
      </c>
      <c r="F1312" s="466" t="s">
        <v>4001</v>
      </c>
      <c r="G1312" s="464"/>
      <c r="H1312" s="477">
        <v>45135</v>
      </c>
      <c r="I1312" s="488">
        <f t="shared" ref="I1312:I1320" si="52">K1312/1.11</f>
        <v>221837.83783783781</v>
      </c>
      <c r="J1312" s="488">
        <f t="shared" ref="J1312:J1326" si="53">I1312*11%</f>
        <v>24402.16216216216</v>
      </c>
      <c r="K1312" s="474">
        <v>246240</v>
      </c>
      <c r="L1312" s="475"/>
    </row>
    <row r="1313" spans="1:12" x14ac:dyDescent="0.2">
      <c r="A1313" s="517">
        <v>213</v>
      </c>
      <c r="B1313" s="469" t="s">
        <v>5731</v>
      </c>
      <c r="C1313" s="476" t="s">
        <v>5803</v>
      </c>
      <c r="D1313" s="464"/>
      <c r="E1313" s="465" t="s">
        <v>3051</v>
      </c>
      <c r="F1313" s="466" t="s">
        <v>3052</v>
      </c>
      <c r="G1313" s="464"/>
      <c r="H1313" s="477">
        <v>45135</v>
      </c>
      <c r="I1313" s="473">
        <f t="shared" si="52"/>
        <v>355149.54954954953</v>
      </c>
      <c r="J1313" s="473">
        <f t="shared" si="53"/>
        <v>39066.450450450451</v>
      </c>
      <c r="K1313" s="474">
        <v>394216</v>
      </c>
      <c r="L1313" s="475"/>
    </row>
    <row r="1314" spans="1:12" x14ac:dyDescent="0.2">
      <c r="A1314" s="305">
        <v>214</v>
      </c>
      <c r="B1314" s="485" t="s">
        <v>5732</v>
      </c>
      <c r="C1314" s="476" t="s">
        <v>5804</v>
      </c>
      <c r="D1314" s="464"/>
      <c r="E1314" s="465" t="s">
        <v>2993</v>
      </c>
      <c r="F1314" s="466" t="s">
        <v>2994</v>
      </c>
      <c r="G1314" s="464"/>
      <c r="H1314" s="477">
        <v>45136</v>
      </c>
      <c r="I1314" s="488">
        <f t="shared" si="52"/>
        <v>7320648.6486486476</v>
      </c>
      <c r="J1314" s="488">
        <f t="shared" si="53"/>
        <v>805271.35135135124</v>
      </c>
      <c r="K1314" s="474">
        <v>8125920</v>
      </c>
      <c r="L1314" s="475"/>
    </row>
    <row r="1315" spans="1:12" x14ac:dyDescent="0.2">
      <c r="A1315" s="517">
        <v>215</v>
      </c>
      <c r="B1315" s="469" t="s">
        <v>5733</v>
      </c>
      <c r="C1315" s="480" t="s">
        <v>5811</v>
      </c>
      <c r="D1315" s="481"/>
      <c r="E1315" s="482" t="s">
        <v>2907</v>
      </c>
      <c r="F1315" s="483" t="s">
        <v>2908</v>
      </c>
      <c r="G1315" s="513"/>
      <c r="H1315" s="484">
        <v>45136</v>
      </c>
      <c r="I1315" s="473">
        <f t="shared" si="52"/>
        <v>8548711.7117117103</v>
      </c>
      <c r="J1315" s="473">
        <f t="shared" si="53"/>
        <v>940358.28828828817</v>
      </c>
      <c r="K1315" s="474">
        <f>1126144+8362926</f>
        <v>9489070</v>
      </c>
      <c r="L1315" s="475"/>
    </row>
    <row r="1316" spans="1:12" x14ac:dyDescent="0.2">
      <c r="A1316" s="305">
        <v>216</v>
      </c>
      <c r="B1316" s="485" t="s">
        <v>5734</v>
      </c>
      <c r="C1316" s="476" t="s">
        <v>5810</v>
      </c>
      <c r="D1316" s="464"/>
      <c r="E1316" s="465" t="s">
        <v>4582</v>
      </c>
      <c r="F1316" s="466" t="s">
        <v>2792</v>
      </c>
      <c r="G1316" s="464"/>
      <c r="H1316" s="477">
        <v>45138</v>
      </c>
      <c r="I1316" s="488">
        <f t="shared" si="52"/>
        <v>15023967.567567566</v>
      </c>
      <c r="J1316" s="488">
        <f t="shared" si="53"/>
        <v>1652636.4324324324</v>
      </c>
      <c r="K1316" s="474">
        <v>16676604</v>
      </c>
      <c r="L1316" s="475"/>
    </row>
    <row r="1317" spans="1:12" x14ac:dyDescent="0.2">
      <c r="A1317" s="517">
        <v>217</v>
      </c>
      <c r="B1317" s="469" t="s">
        <v>5735</v>
      </c>
      <c r="C1317" s="476" t="s">
        <v>5812</v>
      </c>
      <c r="D1317" s="464"/>
      <c r="E1317" s="465" t="s">
        <v>2929</v>
      </c>
      <c r="F1317" s="466" t="s">
        <v>2886</v>
      </c>
      <c r="G1317" s="464"/>
      <c r="H1317" s="477">
        <v>45138</v>
      </c>
      <c r="I1317" s="473">
        <f t="shared" si="52"/>
        <v>2197041.4414414414</v>
      </c>
      <c r="J1317" s="473">
        <f t="shared" si="53"/>
        <v>241674.55855855855</v>
      </c>
      <c r="K1317" s="474">
        <v>2438716</v>
      </c>
      <c r="L1317" s="475"/>
    </row>
    <row r="1318" spans="1:12" x14ac:dyDescent="0.2">
      <c r="A1318" s="305">
        <v>218</v>
      </c>
      <c r="B1318" s="485" t="s">
        <v>5736</v>
      </c>
      <c r="C1318" s="476" t="s">
        <v>5814</v>
      </c>
      <c r="D1318" s="464"/>
      <c r="E1318" s="465" t="s">
        <v>3605</v>
      </c>
      <c r="F1318" s="466" t="s">
        <v>2915</v>
      </c>
      <c r="G1318" s="464"/>
      <c r="H1318" s="477">
        <v>45120</v>
      </c>
      <c r="I1318" s="488">
        <f t="shared" si="52"/>
        <v>55007301.801801793</v>
      </c>
      <c r="J1318" s="488">
        <f t="shared" si="53"/>
        <v>6050803.1981981974</v>
      </c>
      <c r="K1318" s="474">
        <f>35487117+7220000+18350988</f>
        <v>61058105</v>
      </c>
      <c r="L1318" s="475"/>
    </row>
    <row r="1319" spans="1:12" x14ac:dyDescent="0.2">
      <c r="A1319" s="517">
        <v>219</v>
      </c>
      <c r="B1319" s="469" t="s">
        <v>5737</v>
      </c>
      <c r="C1319" s="476" t="s">
        <v>5843</v>
      </c>
      <c r="D1319" s="464"/>
      <c r="E1319" s="465" t="s">
        <v>3605</v>
      </c>
      <c r="F1319" s="466" t="s">
        <v>2915</v>
      </c>
      <c r="G1319" s="464"/>
      <c r="H1319" s="477">
        <v>45129</v>
      </c>
      <c r="I1319" s="473">
        <f t="shared" si="52"/>
        <v>58350283.783783779</v>
      </c>
      <c r="J1319" s="473">
        <f t="shared" si="53"/>
        <v>6418531.2162162159</v>
      </c>
      <c r="K1319" s="474">
        <f>42058134+22710681</f>
        <v>64768815</v>
      </c>
      <c r="L1319" s="475"/>
    </row>
    <row r="1320" spans="1:12" s="521" customFormat="1" x14ac:dyDescent="0.2">
      <c r="A1320" s="517">
        <v>220</v>
      </c>
      <c r="B1320" s="485" t="s">
        <v>5738</v>
      </c>
      <c r="C1320" s="476" t="s">
        <v>5842</v>
      </c>
      <c r="D1320" s="464"/>
      <c r="E1320" s="465" t="s">
        <v>3605</v>
      </c>
      <c r="F1320" s="466" t="s">
        <v>2915</v>
      </c>
      <c r="G1320" s="464"/>
      <c r="H1320" s="477">
        <v>45138</v>
      </c>
      <c r="I1320" s="488">
        <f t="shared" si="52"/>
        <v>37856627.027027026</v>
      </c>
      <c r="J1320" s="488">
        <f t="shared" si="53"/>
        <v>4164228.9729729728</v>
      </c>
      <c r="K1320" s="474">
        <v>42020856</v>
      </c>
      <c r="L1320" s="475"/>
    </row>
    <row r="1321" spans="1:12" s="521" customFormat="1" x14ac:dyDescent="0.2">
      <c r="A1321" s="517">
        <v>221</v>
      </c>
      <c r="B1321" s="783" t="s">
        <v>5747</v>
      </c>
      <c r="C1321" s="776" t="s">
        <v>6171</v>
      </c>
      <c r="D1321" s="777"/>
      <c r="E1321" s="778" t="s">
        <v>2900</v>
      </c>
      <c r="F1321" s="779" t="s">
        <v>2823</v>
      </c>
      <c r="G1321" s="777"/>
      <c r="H1321" s="780">
        <v>45120</v>
      </c>
      <c r="I1321" s="781">
        <f>K1321/1.11</f>
        <v>37628851.351351351</v>
      </c>
      <c r="J1321" s="781">
        <f>I1321*11%</f>
        <v>4139173.6486486485</v>
      </c>
      <c r="K1321" s="782">
        <f>6678000+9818025+25272000</f>
        <v>41768025</v>
      </c>
      <c r="L1321" s="475"/>
    </row>
    <row r="1322" spans="1:12" s="521" customFormat="1" x14ac:dyDescent="0.2">
      <c r="A1322" s="517">
        <v>222</v>
      </c>
      <c r="B1322" s="775" t="s">
        <v>5748</v>
      </c>
      <c r="C1322" s="776" t="s">
        <v>6170</v>
      </c>
      <c r="D1322" s="777"/>
      <c r="E1322" s="778" t="s">
        <v>2904</v>
      </c>
      <c r="F1322" s="779" t="s">
        <v>6168</v>
      </c>
      <c r="G1322" s="777"/>
      <c r="H1322" s="780">
        <v>45121</v>
      </c>
      <c r="I1322" s="784">
        <f>K1322/1.11</f>
        <v>11369189.189189188</v>
      </c>
      <c r="J1322" s="784">
        <f>I1322*11%</f>
        <v>1250610.8108108107</v>
      </c>
      <c r="K1322" s="782">
        <f>6019800+2640000+3960000</f>
        <v>12619800</v>
      </c>
      <c r="L1322" s="475"/>
    </row>
    <row r="1323" spans="1:12" s="521" customFormat="1" x14ac:dyDescent="0.2">
      <c r="A1323" s="517">
        <v>223</v>
      </c>
      <c r="B1323" s="469" t="s">
        <v>5739</v>
      </c>
      <c r="C1323" s="476" t="s">
        <v>5863</v>
      </c>
      <c r="D1323" s="464"/>
      <c r="E1323" s="465" t="s">
        <v>3608</v>
      </c>
      <c r="F1323" s="466" t="s">
        <v>3609</v>
      </c>
      <c r="G1323" s="464"/>
      <c r="H1323" s="477">
        <v>45108</v>
      </c>
      <c r="I1323" s="473">
        <f t="shared" ref="I1323:I1331" si="54">K1323/1.11</f>
        <v>26403872.07207207</v>
      </c>
      <c r="J1323" s="473">
        <f t="shared" si="53"/>
        <v>2904425.9279279276</v>
      </c>
      <c r="K1323" s="474">
        <f>480168+5846130+19932000+3050000</f>
        <v>29308298</v>
      </c>
      <c r="L1323" s="475"/>
    </row>
    <row r="1324" spans="1:12" s="521" customFormat="1" x14ac:dyDescent="0.2">
      <c r="A1324" s="517">
        <v>224</v>
      </c>
      <c r="B1324" s="485" t="s">
        <v>5740</v>
      </c>
      <c r="C1324" s="480" t="s">
        <v>5864</v>
      </c>
      <c r="D1324" s="513"/>
      <c r="E1324" s="482" t="s">
        <v>3608</v>
      </c>
      <c r="F1324" s="483" t="s">
        <v>3609</v>
      </c>
      <c r="G1324" s="513"/>
      <c r="H1324" s="484">
        <v>45119</v>
      </c>
      <c r="I1324" s="488">
        <f t="shared" si="54"/>
        <v>5551654.0540540535</v>
      </c>
      <c r="J1324" s="488">
        <f t="shared" si="53"/>
        <v>610681.94594594592</v>
      </c>
      <c r="K1324" s="474">
        <f>1263006+2550000+297540+600000+1261980+189810</f>
        <v>6162336</v>
      </c>
      <c r="L1324" s="475"/>
    </row>
    <row r="1325" spans="1:12" s="521" customFormat="1" x14ac:dyDescent="0.2">
      <c r="A1325" s="517">
        <v>225</v>
      </c>
      <c r="B1325" s="783" t="s">
        <v>5741</v>
      </c>
      <c r="C1325" s="776" t="s">
        <v>6169</v>
      </c>
      <c r="D1325" s="777"/>
      <c r="E1325" s="778" t="s">
        <v>2933</v>
      </c>
      <c r="F1325" s="779" t="s">
        <v>2823</v>
      </c>
      <c r="G1325" s="777"/>
      <c r="H1325" s="780">
        <v>45125</v>
      </c>
      <c r="I1325" s="784">
        <f t="shared" si="54"/>
        <v>5045045.0450450443</v>
      </c>
      <c r="J1325" s="784">
        <f t="shared" si="53"/>
        <v>554954.95495495491</v>
      </c>
      <c r="K1325" s="782">
        <v>5600000</v>
      </c>
      <c r="L1325" s="475"/>
    </row>
    <row r="1326" spans="1:12" s="521" customFormat="1" x14ac:dyDescent="0.2">
      <c r="A1326" s="517">
        <v>226</v>
      </c>
      <c r="B1326" s="775" t="s">
        <v>5742</v>
      </c>
      <c r="C1326" s="776" t="s">
        <v>6175</v>
      </c>
      <c r="D1326" s="777"/>
      <c r="E1326" s="778" t="s">
        <v>2900</v>
      </c>
      <c r="F1326" s="779" t="s">
        <v>2823</v>
      </c>
      <c r="G1326" s="777"/>
      <c r="H1326" s="780">
        <v>45137</v>
      </c>
      <c r="I1326" s="781">
        <f t="shared" si="54"/>
        <v>9807882.8828828819</v>
      </c>
      <c r="J1326" s="781">
        <f t="shared" si="53"/>
        <v>1078867.1171171169</v>
      </c>
      <c r="K1326" s="782">
        <v>10886750</v>
      </c>
      <c r="L1326" s="475"/>
    </row>
    <row r="1327" spans="1:12" s="521" customFormat="1" x14ac:dyDescent="0.2">
      <c r="A1327" s="517">
        <v>227</v>
      </c>
      <c r="B1327" s="469" t="s">
        <v>5743</v>
      </c>
      <c r="C1327" s="476" t="s">
        <v>5865</v>
      </c>
      <c r="D1327" s="464"/>
      <c r="E1327" s="465" t="s">
        <v>3614</v>
      </c>
      <c r="F1327" s="466" t="s">
        <v>3609</v>
      </c>
      <c r="G1327" s="464"/>
      <c r="H1327" s="477">
        <v>45127</v>
      </c>
      <c r="I1327" s="488">
        <f t="shared" si="54"/>
        <v>38112809.909909904</v>
      </c>
      <c r="J1327" s="488">
        <f t="shared" si="49"/>
        <v>4192409.0900900895</v>
      </c>
      <c r="K1327" s="474">
        <v>42305219</v>
      </c>
      <c r="L1327" s="475"/>
    </row>
    <row r="1328" spans="1:12" s="521" customFormat="1" x14ac:dyDescent="0.2">
      <c r="A1328" s="517">
        <v>228</v>
      </c>
      <c r="B1328" s="775" t="s">
        <v>5744</v>
      </c>
      <c r="C1328" s="776" t="s">
        <v>6177</v>
      </c>
      <c r="D1328" s="777"/>
      <c r="E1328" s="778" t="s">
        <v>2937</v>
      </c>
      <c r="F1328" s="779" t="s">
        <v>2823</v>
      </c>
      <c r="G1328" s="777"/>
      <c r="H1328" s="780">
        <v>45138</v>
      </c>
      <c r="I1328" s="784">
        <f t="shared" si="54"/>
        <v>2440540.5405405401</v>
      </c>
      <c r="J1328" s="784">
        <f t="shared" si="49"/>
        <v>268459.45945945941</v>
      </c>
      <c r="K1328" s="782">
        <v>2709000</v>
      </c>
      <c r="L1328" s="475"/>
    </row>
    <row r="1329" spans="1:12" s="521" customFormat="1" x14ac:dyDescent="0.2">
      <c r="A1329" s="517">
        <v>229</v>
      </c>
      <c r="B1329" s="469" t="s">
        <v>5745</v>
      </c>
      <c r="C1329" s="476" t="s">
        <v>5865</v>
      </c>
      <c r="D1329" s="464"/>
      <c r="E1329" s="465" t="s">
        <v>5866</v>
      </c>
      <c r="F1329" s="466" t="s">
        <v>3609</v>
      </c>
      <c r="G1329" s="464"/>
      <c r="H1329" s="477">
        <v>45119</v>
      </c>
      <c r="I1329" s="488">
        <f t="shared" si="54"/>
        <v>49314184.684684679</v>
      </c>
      <c r="J1329" s="488">
        <f t="shared" si="49"/>
        <v>5424560.3153153146</v>
      </c>
      <c r="K1329" s="474">
        <v>54738745</v>
      </c>
      <c r="L1329" s="475"/>
    </row>
    <row r="1330" spans="1:12" s="521" customFormat="1" x14ac:dyDescent="0.2">
      <c r="A1330" s="517">
        <v>230</v>
      </c>
      <c r="B1330" s="485" t="s">
        <v>5746</v>
      </c>
      <c r="C1330" s="480" t="s">
        <v>5865</v>
      </c>
      <c r="D1330" s="513"/>
      <c r="E1330" s="482" t="s">
        <v>5866</v>
      </c>
      <c r="F1330" s="483" t="s">
        <v>3609</v>
      </c>
      <c r="G1330" s="513"/>
      <c r="H1330" s="484">
        <v>45128</v>
      </c>
      <c r="I1330" s="473">
        <f t="shared" si="54"/>
        <v>39445760.360360354</v>
      </c>
      <c r="J1330" s="473">
        <f t="shared" si="49"/>
        <v>4339033.6396396393</v>
      </c>
      <c r="K1330" s="474">
        <v>43784794</v>
      </c>
      <c r="L1330" s="475"/>
    </row>
    <row r="1331" spans="1:12" s="521" customFormat="1" x14ac:dyDescent="0.2">
      <c r="A1331" s="517">
        <v>231</v>
      </c>
      <c r="B1331" s="783" t="s">
        <v>5749</v>
      </c>
      <c r="C1331" s="776" t="s">
        <v>5867</v>
      </c>
      <c r="D1331" s="777"/>
      <c r="E1331" s="778" t="s">
        <v>3612</v>
      </c>
      <c r="F1331" s="779" t="s">
        <v>3609</v>
      </c>
      <c r="G1331" s="777"/>
      <c r="H1331" s="780">
        <v>45138</v>
      </c>
      <c r="I1331" s="781">
        <f t="shared" si="54"/>
        <v>211532013.51351351</v>
      </c>
      <c r="J1331" s="781">
        <f t="shared" si="49"/>
        <v>23268521.486486487</v>
      </c>
      <c r="K1331" s="782">
        <v>234800535</v>
      </c>
      <c r="L1331" s="475"/>
    </row>
    <row r="1332" spans="1:12" ht="18" x14ac:dyDescent="0.25">
      <c r="B1332" s="490" t="s">
        <v>286</v>
      </c>
      <c r="C1332" s="491"/>
      <c r="D1332" s="492"/>
      <c r="E1332" s="493"/>
      <c r="F1332" s="494"/>
      <c r="G1332" s="514"/>
      <c r="H1332" s="495"/>
      <c r="I1332" s="496">
        <f>SUM(I1101:I1331)</f>
        <v>2421096702.2522521</v>
      </c>
      <c r="J1332" s="496">
        <f>SUM(J1101:J1331)</f>
        <v>266320637.24774766</v>
      </c>
      <c r="K1332" s="496">
        <f>SUM(K1101:K1331)</f>
        <v>2687417339.5</v>
      </c>
      <c r="L1332" s="497"/>
    </row>
    <row r="1333" spans="1:12" s="352" customFormat="1" ht="20.25" x14ac:dyDescent="0.3">
      <c r="A1333" s="305"/>
      <c r="B1333" s="498" t="s">
        <v>105</v>
      </c>
      <c r="C1333" s="486"/>
      <c r="D1333" s="487"/>
      <c r="E1333" s="487"/>
      <c r="F1333" s="487"/>
      <c r="G1333" s="487"/>
      <c r="H1333" s="499"/>
      <c r="I1333" s="500"/>
      <c r="J1333" s="500"/>
      <c r="K1333" s="501"/>
      <c r="L1333" s="502"/>
    </row>
    <row r="1334" spans="1:12" s="520" customFormat="1" x14ac:dyDescent="0.2">
      <c r="A1334" s="517">
        <v>1</v>
      </c>
      <c r="B1334" s="485" t="s">
        <v>1664</v>
      </c>
      <c r="C1334" s="486" t="s">
        <v>5871</v>
      </c>
      <c r="D1334" s="487" t="s">
        <v>2753</v>
      </c>
      <c r="E1334" s="503" t="s">
        <v>2754</v>
      </c>
      <c r="F1334" s="504" t="s">
        <v>2755</v>
      </c>
      <c r="G1334" s="518" t="s">
        <v>5072</v>
      </c>
      <c r="H1334" s="519">
        <v>45140</v>
      </c>
      <c r="I1334" s="488">
        <f>K1334/1.11</f>
        <v>513513.51351351349</v>
      </c>
      <c r="J1334" s="488">
        <f>I1334*11%</f>
        <v>56486.486486486487</v>
      </c>
      <c r="K1334" s="489">
        <v>570000</v>
      </c>
      <c r="L1334" s="547"/>
    </row>
    <row r="1335" spans="1:12" s="520" customFormat="1" x14ac:dyDescent="0.2">
      <c r="A1335" s="517">
        <v>2</v>
      </c>
      <c r="B1335" s="469" t="s">
        <v>1665</v>
      </c>
      <c r="C1335" s="470" t="s">
        <v>5872</v>
      </c>
      <c r="D1335" s="464" t="s">
        <v>2783</v>
      </c>
      <c r="E1335" s="465" t="s">
        <v>2784</v>
      </c>
      <c r="F1335" s="466" t="s">
        <v>2785</v>
      </c>
      <c r="G1335" s="518" t="s">
        <v>5073</v>
      </c>
      <c r="H1335" s="519">
        <v>45141</v>
      </c>
      <c r="I1335" s="473">
        <f>K1335/1.11</f>
        <v>4218918.9189189188</v>
      </c>
      <c r="J1335" s="473">
        <f>I1335*11%</f>
        <v>464081.08108108107</v>
      </c>
      <c r="K1335" s="474">
        <v>4683000</v>
      </c>
      <c r="L1335" s="475"/>
    </row>
    <row r="1336" spans="1:12" s="520" customFormat="1" x14ac:dyDescent="0.2">
      <c r="A1336" s="517">
        <v>3</v>
      </c>
      <c r="B1336" s="485" t="s">
        <v>1666</v>
      </c>
      <c r="C1336" s="476" t="s">
        <v>5873</v>
      </c>
      <c r="D1336" s="511" t="s">
        <v>2773</v>
      </c>
      <c r="E1336" s="465" t="s">
        <v>2774</v>
      </c>
      <c r="F1336" s="510" t="s">
        <v>2755</v>
      </c>
      <c r="G1336" s="518" t="s">
        <v>5074</v>
      </c>
      <c r="H1336" s="519">
        <v>45142</v>
      </c>
      <c r="I1336" s="488">
        <f t="shared" ref="I1336:I1399" si="55">K1336/1.11</f>
        <v>4427027.0270270268</v>
      </c>
      <c r="J1336" s="488">
        <f t="shared" ref="J1336:J1399" si="56">I1336*11%</f>
        <v>486972.97297297296</v>
      </c>
      <c r="K1336" s="474">
        <v>4914000</v>
      </c>
      <c r="L1336" s="475"/>
    </row>
    <row r="1337" spans="1:12" s="520" customFormat="1" x14ac:dyDescent="0.2">
      <c r="A1337" s="517">
        <v>4</v>
      </c>
      <c r="B1337" s="469" t="s">
        <v>1667</v>
      </c>
      <c r="C1337" s="476" t="s">
        <v>5874</v>
      </c>
      <c r="D1337" s="464" t="s">
        <v>2758</v>
      </c>
      <c r="E1337" s="708" t="s">
        <v>2759</v>
      </c>
      <c r="F1337" s="466" t="s">
        <v>2755</v>
      </c>
      <c r="G1337" s="518" t="s">
        <v>5075</v>
      </c>
      <c r="H1337" s="519">
        <v>45142</v>
      </c>
      <c r="I1337" s="473">
        <f t="shared" si="55"/>
        <v>2348280.1801801799</v>
      </c>
      <c r="J1337" s="473">
        <f t="shared" si="56"/>
        <v>258310.81981981979</v>
      </c>
      <c r="K1337" s="474">
        <v>2606591</v>
      </c>
      <c r="L1337" s="475"/>
    </row>
    <row r="1338" spans="1:12" s="520" customFormat="1" x14ac:dyDescent="0.2">
      <c r="A1338" s="517">
        <v>5</v>
      </c>
      <c r="B1338" s="485" t="s">
        <v>1668</v>
      </c>
      <c r="C1338" s="476" t="s">
        <v>5875</v>
      </c>
      <c r="D1338" s="487" t="s">
        <v>4931</v>
      </c>
      <c r="E1338" s="503" t="s">
        <v>4940</v>
      </c>
      <c r="F1338" s="504" t="s">
        <v>2808</v>
      </c>
      <c r="G1338" s="518" t="s">
        <v>5076</v>
      </c>
      <c r="H1338" s="519">
        <v>45143</v>
      </c>
      <c r="I1338" s="488">
        <f t="shared" si="55"/>
        <v>5414594.5945945941</v>
      </c>
      <c r="J1338" s="488">
        <f t="shared" si="56"/>
        <v>595605.40540540533</v>
      </c>
      <c r="K1338" s="474">
        <v>6010200</v>
      </c>
      <c r="L1338" s="475"/>
    </row>
    <row r="1339" spans="1:12" s="520" customFormat="1" x14ac:dyDescent="0.2">
      <c r="A1339" s="517">
        <v>6</v>
      </c>
      <c r="B1339" s="469" t="s">
        <v>1669</v>
      </c>
      <c r="C1339" s="476" t="s">
        <v>5876</v>
      </c>
      <c r="D1339" s="464" t="s">
        <v>2779</v>
      </c>
      <c r="E1339" s="471" t="s">
        <v>2780</v>
      </c>
      <c r="F1339" s="471" t="s">
        <v>2755</v>
      </c>
      <c r="G1339" s="518" t="s">
        <v>5077</v>
      </c>
      <c r="H1339" s="519">
        <v>45145</v>
      </c>
      <c r="I1339" s="473">
        <f t="shared" si="55"/>
        <v>315315.31531531527</v>
      </c>
      <c r="J1339" s="473">
        <f t="shared" si="56"/>
        <v>34684.684684684682</v>
      </c>
      <c r="K1339" s="474">
        <v>350000</v>
      </c>
      <c r="L1339" s="475"/>
    </row>
    <row r="1340" spans="1:12" s="520" customFormat="1" x14ac:dyDescent="0.2">
      <c r="A1340" s="804">
        <v>7</v>
      </c>
      <c r="B1340" s="775" t="s">
        <v>1670</v>
      </c>
      <c r="C1340" s="776" t="s">
        <v>5877</v>
      </c>
      <c r="D1340" s="805" t="s">
        <v>3300</v>
      </c>
      <c r="E1340" s="806" t="s">
        <v>3301</v>
      </c>
      <c r="F1340" s="807" t="s">
        <v>3001</v>
      </c>
      <c r="G1340" s="808" t="s">
        <v>6975</v>
      </c>
      <c r="H1340" s="809">
        <v>45236</v>
      </c>
      <c r="I1340" s="781">
        <f t="shared" si="55"/>
        <v>2009789.1891891891</v>
      </c>
      <c r="J1340" s="781">
        <f t="shared" si="56"/>
        <v>221076.8108108108</v>
      </c>
      <c r="K1340" s="782">
        <v>2230866</v>
      </c>
      <c r="L1340" s="475"/>
    </row>
    <row r="1341" spans="1:12" s="520" customFormat="1" x14ac:dyDescent="0.2">
      <c r="A1341" s="517">
        <v>8</v>
      </c>
      <c r="B1341" s="469" t="s">
        <v>1671</v>
      </c>
      <c r="C1341" s="476" t="s">
        <v>5878</v>
      </c>
      <c r="D1341" s="464" t="s">
        <v>2871</v>
      </c>
      <c r="E1341" s="465" t="s">
        <v>2872</v>
      </c>
      <c r="F1341" s="466" t="s">
        <v>2873</v>
      </c>
      <c r="G1341" s="518" t="s">
        <v>5078</v>
      </c>
      <c r="H1341" s="519">
        <v>45146</v>
      </c>
      <c r="I1341" s="473">
        <f t="shared" si="55"/>
        <v>303567.56756756752</v>
      </c>
      <c r="J1341" s="473">
        <f t="shared" si="56"/>
        <v>33392.432432432426</v>
      </c>
      <c r="K1341" s="474">
        <v>336960</v>
      </c>
      <c r="L1341" s="475"/>
    </row>
    <row r="1342" spans="1:12" s="520" customFormat="1" x14ac:dyDescent="0.2">
      <c r="A1342" s="517">
        <v>9</v>
      </c>
      <c r="B1342" s="485" t="s">
        <v>1672</v>
      </c>
      <c r="C1342" s="476" t="s">
        <v>5879</v>
      </c>
      <c r="D1342" s="464" t="s">
        <v>2783</v>
      </c>
      <c r="E1342" s="465" t="s">
        <v>2784</v>
      </c>
      <c r="F1342" s="466" t="s">
        <v>2785</v>
      </c>
      <c r="G1342" s="518" t="s">
        <v>5079</v>
      </c>
      <c r="H1342" s="519">
        <v>45147</v>
      </c>
      <c r="I1342" s="488">
        <f t="shared" si="55"/>
        <v>1793513.5135135134</v>
      </c>
      <c r="J1342" s="488">
        <f t="shared" si="56"/>
        <v>197286.48648648648</v>
      </c>
      <c r="K1342" s="474">
        <v>1990800</v>
      </c>
      <c r="L1342" s="475"/>
    </row>
    <row r="1343" spans="1:12" s="520" customFormat="1" ht="14.25" customHeight="1" x14ac:dyDescent="0.2">
      <c r="A1343" s="517">
        <v>10</v>
      </c>
      <c r="B1343" s="469" t="s">
        <v>1673</v>
      </c>
      <c r="C1343" s="476" t="s">
        <v>5880</v>
      </c>
      <c r="D1343" s="464" t="s">
        <v>2758</v>
      </c>
      <c r="E1343" s="708" t="s">
        <v>2759</v>
      </c>
      <c r="F1343" s="466" t="s">
        <v>2755</v>
      </c>
      <c r="G1343" s="518" t="s">
        <v>5080</v>
      </c>
      <c r="H1343" s="519">
        <v>45147</v>
      </c>
      <c r="I1343" s="473">
        <f t="shared" si="55"/>
        <v>4965567.5675675673</v>
      </c>
      <c r="J1343" s="473">
        <f t="shared" si="56"/>
        <v>546212.43243243243</v>
      </c>
      <c r="K1343" s="474">
        <v>5511780</v>
      </c>
      <c r="L1343" s="475"/>
    </row>
    <row r="1344" spans="1:12" s="520" customFormat="1" ht="14.25" customHeight="1" x14ac:dyDescent="0.2">
      <c r="A1344" s="517">
        <v>11</v>
      </c>
      <c r="B1344" s="485" t="s">
        <v>1674</v>
      </c>
      <c r="C1344" s="476" t="s">
        <v>5881</v>
      </c>
      <c r="D1344" s="464" t="s">
        <v>2806</v>
      </c>
      <c r="E1344" s="465" t="s">
        <v>2807</v>
      </c>
      <c r="F1344" s="466" t="s">
        <v>2808</v>
      </c>
      <c r="G1344" s="518" t="s">
        <v>5081</v>
      </c>
      <c r="H1344" s="519">
        <v>45148</v>
      </c>
      <c r="I1344" s="488">
        <f t="shared" si="55"/>
        <v>1157837.8378378376</v>
      </c>
      <c r="J1344" s="488">
        <f t="shared" si="56"/>
        <v>127362.16216216215</v>
      </c>
      <c r="K1344" s="474">
        <v>1285200</v>
      </c>
      <c r="L1344" s="475"/>
    </row>
    <row r="1345" spans="1:12" s="520" customFormat="1" x14ac:dyDescent="0.2">
      <c r="A1345" s="517">
        <v>12</v>
      </c>
      <c r="B1345" s="469" t="s">
        <v>1675</v>
      </c>
      <c r="C1345" s="476" t="s">
        <v>5882</v>
      </c>
      <c r="D1345" s="487" t="s">
        <v>4931</v>
      </c>
      <c r="E1345" s="503" t="s">
        <v>4940</v>
      </c>
      <c r="F1345" s="504" t="s">
        <v>2808</v>
      </c>
      <c r="G1345" s="518" t="s">
        <v>5082</v>
      </c>
      <c r="H1345" s="519">
        <v>45148</v>
      </c>
      <c r="I1345" s="473">
        <f t="shared" si="55"/>
        <v>3697297.297297297</v>
      </c>
      <c r="J1345" s="473">
        <f t="shared" si="56"/>
        <v>406702.70270270266</v>
      </c>
      <c r="K1345" s="474">
        <v>4104000</v>
      </c>
      <c r="L1345" s="475"/>
    </row>
    <row r="1346" spans="1:12" s="520" customFormat="1" ht="14.25" customHeight="1" x14ac:dyDescent="0.2">
      <c r="A1346" s="517">
        <v>13</v>
      </c>
      <c r="B1346" s="485" t="s">
        <v>1676</v>
      </c>
      <c r="C1346" s="476" t="s">
        <v>5883</v>
      </c>
      <c r="D1346" s="464" t="s">
        <v>2783</v>
      </c>
      <c r="E1346" s="465" t="s">
        <v>2784</v>
      </c>
      <c r="F1346" s="466" t="s">
        <v>2785</v>
      </c>
      <c r="G1346" s="518" t="s">
        <v>5083</v>
      </c>
      <c r="H1346" s="519">
        <v>45148</v>
      </c>
      <c r="I1346" s="488">
        <f t="shared" si="55"/>
        <v>18486486.486486483</v>
      </c>
      <c r="J1346" s="488">
        <f t="shared" si="56"/>
        <v>2033513.5135135131</v>
      </c>
      <c r="K1346" s="474">
        <v>20520000</v>
      </c>
      <c r="L1346" s="475"/>
    </row>
    <row r="1347" spans="1:12" s="520" customFormat="1" ht="14.25" customHeight="1" x14ac:dyDescent="0.2">
      <c r="A1347" s="517">
        <v>14</v>
      </c>
      <c r="B1347" s="469" t="s">
        <v>1677</v>
      </c>
      <c r="C1347" s="476" t="s">
        <v>5884</v>
      </c>
      <c r="D1347" s="464" t="s">
        <v>4915</v>
      </c>
      <c r="E1347" s="471" t="s">
        <v>4916</v>
      </c>
      <c r="F1347" s="471" t="s">
        <v>2823</v>
      </c>
      <c r="G1347" s="518" t="s">
        <v>5084</v>
      </c>
      <c r="H1347" s="519">
        <v>45148</v>
      </c>
      <c r="I1347" s="473">
        <f t="shared" si="55"/>
        <v>17519369.369369369</v>
      </c>
      <c r="J1347" s="473">
        <f t="shared" si="56"/>
        <v>1927130.6306306305</v>
      </c>
      <c r="K1347" s="474">
        <v>19446500</v>
      </c>
      <c r="L1347" s="475"/>
    </row>
    <row r="1348" spans="1:12" s="520" customFormat="1" x14ac:dyDescent="0.2">
      <c r="A1348" s="517">
        <v>15</v>
      </c>
      <c r="B1348" s="485" t="s">
        <v>1678</v>
      </c>
      <c r="C1348" s="476" t="s">
        <v>5885</v>
      </c>
      <c r="D1348" s="464" t="s">
        <v>2758</v>
      </c>
      <c r="E1348" s="708" t="s">
        <v>2759</v>
      </c>
      <c r="F1348" s="466" t="s">
        <v>2755</v>
      </c>
      <c r="G1348" s="518" t="s">
        <v>5085</v>
      </c>
      <c r="H1348" s="519">
        <v>45148</v>
      </c>
      <c r="I1348" s="488">
        <f t="shared" si="55"/>
        <v>1675450.4504504504</v>
      </c>
      <c r="J1348" s="488">
        <f t="shared" si="56"/>
        <v>184299.54954954956</v>
      </c>
      <c r="K1348" s="474">
        <v>1859750</v>
      </c>
      <c r="L1348" s="475"/>
    </row>
    <row r="1349" spans="1:12" s="520" customFormat="1" x14ac:dyDescent="0.2">
      <c r="A1349" s="517">
        <v>16</v>
      </c>
      <c r="B1349" s="469" t="s">
        <v>1679</v>
      </c>
      <c r="C1349" s="476" t="s">
        <v>5886</v>
      </c>
      <c r="D1349" s="728" t="s">
        <v>3672</v>
      </c>
      <c r="E1349" s="729" t="s">
        <v>3673</v>
      </c>
      <c r="F1349" s="730" t="s">
        <v>3052</v>
      </c>
      <c r="G1349" s="518" t="s">
        <v>5086</v>
      </c>
      <c r="H1349" s="519">
        <v>45148</v>
      </c>
      <c r="I1349" s="473">
        <f t="shared" si="55"/>
        <v>3697297.297297297</v>
      </c>
      <c r="J1349" s="473">
        <f t="shared" si="56"/>
        <v>406702.70270270266</v>
      </c>
      <c r="K1349" s="474">
        <v>4104000</v>
      </c>
      <c r="L1349" s="475"/>
    </row>
    <row r="1350" spans="1:12" s="520" customFormat="1" x14ac:dyDescent="0.2">
      <c r="A1350" s="517">
        <v>17</v>
      </c>
      <c r="B1350" s="485" t="s">
        <v>1680</v>
      </c>
      <c r="C1350" s="476" t="s">
        <v>5887</v>
      </c>
      <c r="D1350" s="464" t="s">
        <v>2783</v>
      </c>
      <c r="E1350" s="465" t="s">
        <v>2784</v>
      </c>
      <c r="F1350" s="466" t="s">
        <v>2785</v>
      </c>
      <c r="G1350" s="518" t="s">
        <v>5087</v>
      </c>
      <c r="H1350" s="519">
        <v>45149</v>
      </c>
      <c r="I1350" s="488">
        <f t="shared" si="55"/>
        <v>12766486.486486485</v>
      </c>
      <c r="J1350" s="488">
        <f t="shared" si="56"/>
        <v>1404313.5135135134</v>
      </c>
      <c r="K1350" s="474">
        <v>14170800</v>
      </c>
      <c r="L1350" s="475"/>
    </row>
    <row r="1351" spans="1:12" s="520" customFormat="1" x14ac:dyDescent="0.2">
      <c r="A1351" s="517">
        <v>18</v>
      </c>
      <c r="B1351" s="469" t="s">
        <v>1681</v>
      </c>
      <c r="C1351" s="476" t="s">
        <v>5888</v>
      </c>
      <c r="D1351" s="464" t="s">
        <v>4915</v>
      </c>
      <c r="E1351" s="471" t="s">
        <v>4916</v>
      </c>
      <c r="F1351" s="471" t="s">
        <v>2823</v>
      </c>
      <c r="G1351" s="518" t="s">
        <v>5088</v>
      </c>
      <c r="H1351" s="519">
        <v>45150</v>
      </c>
      <c r="I1351" s="473">
        <f t="shared" si="55"/>
        <v>3581081.0810810807</v>
      </c>
      <c r="J1351" s="473">
        <f t="shared" si="56"/>
        <v>393918.91891891888</v>
      </c>
      <c r="K1351" s="474">
        <v>3975000</v>
      </c>
      <c r="L1351" s="475"/>
    </row>
    <row r="1352" spans="1:12" s="520" customFormat="1" x14ac:dyDescent="0.2">
      <c r="A1352" s="517">
        <v>19</v>
      </c>
      <c r="B1352" s="485" t="s">
        <v>1682</v>
      </c>
      <c r="C1352" s="476" t="s">
        <v>5889</v>
      </c>
      <c r="D1352" s="464" t="s">
        <v>2783</v>
      </c>
      <c r="E1352" s="465" t="s">
        <v>2784</v>
      </c>
      <c r="F1352" s="466" t="s">
        <v>2785</v>
      </c>
      <c r="G1352" s="518" t="s">
        <v>5089</v>
      </c>
      <c r="H1352" s="477">
        <v>45150</v>
      </c>
      <c r="I1352" s="488">
        <f t="shared" si="55"/>
        <v>9208783.7837837823</v>
      </c>
      <c r="J1352" s="488">
        <f t="shared" si="56"/>
        <v>1012966.2162162161</v>
      </c>
      <c r="K1352" s="474">
        <v>10221750</v>
      </c>
      <c r="L1352" s="475"/>
    </row>
    <row r="1353" spans="1:12" s="520" customFormat="1" x14ac:dyDescent="0.2">
      <c r="A1353" s="517">
        <v>20</v>
      </c>
      <c r="B1353" s="469" t="s">
        <v>1683</v>
      </c>
      <c r="C1353" s="476" t="s">
        <v>5890</v>
      </c>
      <c r="D1353" s="464" t="s">
        <v>2783</v>
      </c>
      <c r="E1353" s="465" t="s">
        <v>2784</v>
      </c>
      <c r="F1353" s="466" t="s">
        <v>2785</v>
      </c>
      <c r="G1353" s="518" t="s">
        <v>5090</v>
      </c>
      <c r="H1353" s="477">
        <v>45154</v>
      </c>
      <c r="I1353" s="473">
        <f t="shared" si="55"/>
        <v>7559999.9999999991</v>
      </c>
      <c r="J1353" s="473">
        <f t="shared" si="56"/>
        <v>831599.99999999988</v>
      </c>
      <c r="K1353" s="474">
        <v>8391600</v>
      </c>
      <c r="L1353" s="475"/>
    </row>
    <row r="1354" spans="1:12" s="520" customFormat="1" x14ac:dyDescent="0.2">
      <c r="A1354" s="517">
        <v>21</v>
      </c>
      <c r="B1354" s="485" t="s">
        <v>1684</v>
      </c>
      <c r="C1354" s="476" t="s">
        <v>5891</v>
      </c>
      <c r="D1354" s="487" t="s">
        <v>2790</v>
      </c>
      <c r="E1354" s="503" t="s">
        <v>2791</v>
      </c>
      <c r="F1354" s="504" t="s">
        <v>2792</v>
      </c>
      <c r="G1354" s="518" t="s">
        <v>5091</v>
      </c>
      <c r="H1354" s="477">
        <v>45154</v>
      </c>
      <c r="I1354" s="488">
        <f t="shared" si="55"/>
        <v>1585499.0990990989</v>
      </c>
      <c r="J1354" s="488">
        <f t="shared" si="56"/>
        <v>174404.90090090089</v>
      </c>
      <c r="K1354" s="474">
        <v>1759904</v>
      </c>
      <c r="L1354" s="475"/>
    </row>
    <row r="1355" spans="1:12" s="520" customFormat="1" x14ac:dyDescent="0.2">
      <c r="A1355" s="517">
        <v>22</v>
      </c>
      <c r="B1355" s="469" t="s">
        <v>1685</v>
      </c>
      <c r="C1355" s="476" t="s">
        <v>5892</v>
      </c>
      <c r="D1355" s="725" t="s">
        <v>3302</v>
      </c>
      <c r="E1355" s="708" t="s">
        <v>3303</v>
      </c>
      <c r="F1355" s="727" t="s">
        <v>2873</v>
      </c>
      <c r="G1355" s="518" t="s">
        <v>5092</v>
      </c>
      <c r="H1355" s="477">
        <v>45154</v>
      </c>
      <c r="I1355" s="473">
        <f t="shared" si="55"/>
        <v>2099189.1891891891</v>
      </c>
      <c r="J1355" s="473">
        <f t="shared" si="56"/>
        <v>230910.8108108108</v>
      </c>
      <c r="K1355" s="474">
        <v>2330100</v>
      </c>
      <c r="L1355" s="475"/>
    </row>
    <row r="1356" spans="1:12" s="520" customFormat="1" x14ac:dyDescent="0.2">
      <c r="A1356" s="517">
        <v>23</v>
      </c>
      <c r="B1356" s="485" t="s">
        <v>1686</v>
      </c>
      <c r="C1356" s="476" t="s">
        <v>5893</v>
      </c>
      <c r="D1356" s="464" t="s">
        <v>2758</v>
      </c>
      <c r="E1356" s="708" t="s">
        <v>2759</v>
      </c>
      <c r="F1356" s="466" t="s">
        <v>2755</v>
      </c>
      <c r="G1356" s="518" t="s">
        <v>5093</v>
      </c>
      <c r="H1356" s="477">
        <v>45156</v>
      </c>
      <c r="I1356" s="488">
        <f t="shared" si="55"/>
        <v>7247297.297297297</v>
      </c>
      <c r="J1356" s="488">
        <f t="shared" si="56"/>
        <v>797202.70270270272</v>
      </c>
      <c r="K1356" s="474">
        <v>8044500</v>
      </c>
      <c r="L1356" s="475"/>
    </row>
    <row r="1357" spans="1:12" s="520" customFormat="1" x14ac:dyDescent="0.2">
      <c r="A1357" s="517">
        <v>24</v>
      </c>
      <c r="B1357" s="469" t="s">
        <v>1687</v>
      </c>
      <c r="C1357" s="476" t="s">
        <v>5894</v>
      </c>
      <c r="D1357" s="464" t="s">
        <v>2783</v>
      </c>
      <c r="E1357" s="465" t="s">
        <v>2784</v>
      </c>
      <c r="F1357" s="466" t="s">
        <v>2785</v>
      </c>
      <c r="G1357" s="518" t="s">
        <v>5094</v>
      </c>
      <c r="H1357" s="477">
        <v>45156</v>
      </c>
      <c r="I1357" s="473">
        <f t="shared" si="55"/>
        <v>25956756.756756753</v>
      </c>
      <c r="J1357" s="473">
        <f t="shared" si="56"/>
        <v>2855243.2432432426</v>
      </c>
      <c r="K1357" s="474">
        <v>28812000</v>
      </c>
      <c r="L1357" s="475"/>
    </row>
    <row r="1358" spans="1:12" s="520" customFormat="1" x14ac:dyDescent="0.2">
      <c r="A1358" s="517">
        <v>25</v>
      </c>
      <c r="B1358" s="485" t="s">
        <v>1688</v>
      </c>
      <c r="C1358" s="476" t="s">
        <v>5895</v>
      </c>
      <c r="D1358" s="725" t="s">
        <v>3300</v>
      </c>
      <c r="E1358" s="708" t="s">
        <v>3301</v>
      </c>
      <c r="F1358" s="726" t="s">
        <v>3001</v>
      </c>
      <c r="G1358" s="518" t="s">
        <v>5095</v>
      </c>
      <c r="H1358" s="477">
        <v>45160</v>
      </c>
      <c r="I1358" s="488">
        <f t="shared" si="55"/>
        <v>2594347.7477477477</v>
      </c>
      <c r="J1358" s="488">
        <f t="shared" si="56"/>
        <v>285378.25225225225</v>
      </c>
      <c r="K1358" s="474">
        <v>2879726</v>
      </c>
      <c r="L1358" s="475"/>
    </row>
    <row r="1359" spans="1:12" s="521" customFormat="1" x14ac:dyDescent="0.2">
      <c r="A1359" s="517">
        <v>26</v>
      </c>
      <c r="B1359" s="469" t="s">
        <v>1689</v>
      </c>
      <c r="C1359" s="476" t="s">
        <v>5896</v>
      </c>
      <c r="D1359" s="487" t="s">
        <v>2790</v>
      </c>
      <c r="E1359" s="503" t="s">
        <v>2791</v>
      </c>
      <c r="F1359" s="504" t="s">
        <v>2792</v>
      </c>
      <c r="G1359" s="518" t="s">
        <v>5096</v>
      </c>
      <c r="H1359" s="477">
        <v>45161</v>
      </c>
      <c r="I1359" s="473">
        <f t="shared" si="55"/>
        <v>1317117.1171171169</v>
      </c>
      <c r="J1359" s="473">
        <f t="shared" si="56"/>
        <v>144882.88288288287</v>
      </c>
      <c r="K1359" s="474">
        <v>1462000</v>
      </c>
      <c r="L1359" s="475"/>
    </row>
    <row r="1360" spans="1:12" s="521" customFormat="1" x14ac:dyDescent="0.2">
      <c r="A1360" s="517">
        <v>27</v>
      </c>
      <c r="B1360" s="485" t="s">
        <v>1690</v>
      </c>
      <c r="C1360" s="476" t="s">
        <v>5897</v>
      </c>
      <c r="D1360" s="464" t="s">
        <v>2758</v>
      </c>
      <c r="E1360" s="708" t="s">
        <v>2759</v>
      </c>
      <c r="F1360" s="466" t="s">
        <v>2755</v>
      </c>
      <c r="G1360" s="518" t="s">
        <v>5097</v>
      </c>
      <c r="H1360" s="477">
        <v>45161</v>
      </c>
      <c r="I1360" s="488">
        <f t="shared" si="55"/>
        <v>5285383.7837837832</v>
      </c>
      <c r="J1360" s="488">
        <f t="shared" si="56"/>
        <v>581392.21621621621</v>
      </c>
      <c r="K1360" s="474">
        <v>5866776</v>
      </c>
      <c r="L1360" s="475"/>
    </row>
    <row r="1361" spans="1:12" s="521" customFormat="1" x14ac:dyDescent="0.2">
      <c r="A1361" s="517">
        <v>28</v>
      </c>
      <c r="B1361" s="469" t="s">
        <v>1691</v>
      </c>
      <c r="C1361" s="476" t="s">
        <v>5942</v>
      </c>
      <c r="D1361" s="464" t="s">
        <v>2783</v>
      </c>
      <c r="E1361" s="465" t="s">
        <v>2784</v>
      </c>
      <c r="F1361" s="466" t="s">
        <v>2785</v>
      </c>
      <c r="G1361" s="518" t="s">
        <v>5098</v>
      </c>
      <c r="H1361" s="477">
        <v>45166</v>
      </c>
      <c r="I1361" s="473">
        <f t="shared" si="55"/>
        <v>10512612.612612613</v>
      </c>
      <c r="J1361" s="473">
        <f t="shared" si="56"/>
        <v>1156387.3873873875</v>
      </c>
      <c r="K1361" s="474">
        <v>11669000</v>
      </c>
      <c r="L1361" s="475"/>
    </row>
    <row r="1362" spans="1:12" s="521" customFormat="1" x14ac:dyDescent="0.2">
      <c r="A1362" s="517">
        <v>29</v>
      </c>
      <c r="B1362" s="485" t="s">
        <v>1692</v>
      </c>
      <c r="C1362" s="476" t="s">
        <v>5934</v>
      </c>
      <c r="D1362" s="725" t="s">
        <v>3302</v>
      </c>
      <c r="E1362" s="708" t="s">
        <v>3303</v>
      </c>
      <c r="F1362" s="727" t="s">
        <v>2873</v>
      </c>
      <c r="G1362" s="518" t="s">
        <v>5099</v>
      </c>
      <c r="H1362" s="477">
        <v>45162</v>
      </c>
      <c r="I1362" s="488">
        <f t="shared" si="55"/>
        <v>3245351.351351351</v>
      </c>
      <c r="J1362" s="488">
        <f t="shared" si="56"/>
        <v>356988.64864864864</v>
      </c>
      <c r="K1362" s="474">
        <v>3602340</v>
      </c>
      <c r="L1362" s="475"/>
    </row>
    <row r="1363" spans="1:12" s="521" customFormat="1" x14ac:dyDescent="0.2">
      <c r="A1363" s="517">
        <v>30</v>
      </c>
      <c r="B1363" s="469" t="s">
        <v>1693</v>
      </c>
      <c r="C1363" s="476" t="s">
        <v>5989</v>
      </c>
      <c r="D1363" s="464" t="s">
        <v>2758</v>
      </c>
      <c r="E1363" s="708" t="s">
        <v>2759</v>
      </c>
      <c r="F1363" s="466" t="s">
        <v>2755</v>
      </c>
      <c r="G1363" s="518" t="s">
        <v>5100</v>
      </c>
      <c r="H1363" s="477">
        <v>45166</v>
      </c>
      <c r="I1363" s="473">
        <f t="shared" si="55"/>
        <v>5421913.5135135129</v>
      </c>
      <c r="J1363" s="473">
        <f t="shared" si="56"/>
        <v>596410.48648648639</v>
      </c>
      <c r="K1363" s="474">
        <v>6018324</v>
      </c>
      <c r="L1363" s="475"/>
    </row>
    <row r="1364" spans="1:12" s="521" customFormat="1" x14ac:dyDescent="0.2">
      <c r="A1364" s="517">
        <v>31</v>
      </c>
      <c r="B1364" s="485" t="s">
        <v>1694</v>
      </c>
      <c r="C1364" s="476" t="s">
        <v>5990</v>
      </c>
      <c r="D1364" s="464" t="s">
        <v>2849</v>
      </c>
      <c r="E1364" s="471" t="s">
        <v>2850</v>
      </c>
      <c r="F1364" s="471" t="s">
        <v>2851</v>
      </c>
      <c r="G1364" s="518" t="s">
        <v>5101</v>
      </c>
      <c r="H1364" s="477">
        <v>45167</v>
      </c>
      <c r="I1364" s="488">
        <f t="shared" si="55"/>
        <v>1522819.8198198196</v>
      </c>
      <c r="J1364" s="488">
        <f t="shared" si="56"/>
        <v>167510.18018018015</v>
      </c>
      <c r="K1364" s="474">
        <v>1690330</v>
      </c>
      <c r="L1364" s="475"/>
    </row>
    <row r="1365" spans="1:12" s="521" customFormat="1" x14ac:dyDescent="0.2">
      <c r="A1365" s="517">
        <v>32</v>
      </c>
      <c r="B1365" s="469" t="s">
        <v>1695</v>
      </c>
      <c r="C1365" s="476" t="s">
        <v>5993</v>
      </c>
      <c r="D1365" s="487" t="s">
        <v>2790</v>
      </c>
      <c r="E1365" s="503" t="s">
        <v>2791</v>
      </c>
      <c r="F1365" s="504" t="s">
        <v>2792</v>
      </c>
      <c r="G1365" s="518" t="s">
        <v>5102</v>
      </c>
      <c r="H1365" s="477">
        <v>45169</v>
      </c>
      <c r="I1365" s="473">
        <f t="shared" si="55"/>
        <v>2287135.1351351351</v>
      </c>
      <c r="J1365" s="473">
        <f t="shared" si="56"/>
        <v>251584.86486486488</v>
      </c>
      <c r="K1365" s="474">
        <v>2538720</v>
      </c>
      <c r="L1365" s="475"/>
    </row>
    <row r="1366" spans="1:12" s="521" customFormat="1" x14ac:dyDescent="0.2">
      <c r="A1366" s="517">
        <v>33</v>
      </c>
      <c r="B1366" s="485" t="s">
        <v>1696</v>
      </c>
      <c r="C1366" s="476" t="s">
        <v>5994</v>
      </c>
      <c r="D1366" s="464" t="s">
        <v>2758</v>
      </c>
      <c r="E1366" s="708" t="s">
        <v>2759</v>
      </c>
      <c r="F1366" s="466" t="s">
        <v>2755</v>
      </c>
      <c r="G1366" s="518" t="s">
        <v>5103</v>
      </c>
      <c r="H1366" s="477">
        <v>45169</v>
      </c>
      <c r="I1366" s="488">
        <f t="shared" si="55"/>
        <v>17146637.837837838</v>
      </c>
      <c r="J1366" s="488">
        <f t="shared" si="56"/>
        <v>1886130.1621621621</v>
      </c>
      <c r="K1366" s="474">
        <v>19032768</v>
      </c>
      <c r="L1366" s="478"/>
    </row>
    <row r="1367" spans="1:12" s="521" customFormat="1" x14ac:dyDescent="0.2">
      <c r="A1367" s="517">
        <v>34</v>
      </c>
      <c r="B1367" s="469" t="s">
        <v>1697</v>
      </c>
      <c r="C1367" s="476" t="s">
        <v>5995</v>
      </c>
      <c r="D1367" s="464" t="s">
        <v>4915</v>
      </c>
      <c r="E1367" s="471" t="s">
        <v>4916</v>
      </c>
      <c r="F1367" s="471" t="s">
        <v>2823</v>
      </c>
      <c r="G1367" s="518" t="s">
        <v>5104</v>
      </c>
      <c r="H1367" s="477">
        <v>45169</v>
      </c>
      <c r="I1367" s="473">
        <f t="shared" si="55"/>
        <v>9118918.9189189188</v>
      </c>
      <c r="J1367" s="473">
        <f t="shared" si="56"/>
        <v>1003081.0810810811</v>
      </c>
      <c r="K1367" s="474">
        <v>10122000</v>
      </c>
      <c r="L1367" s="475"/>
    </row>
    <row r="1368" spans="1:12" s="521" customFormat="1" ht="14.25" customHeight="1" x14ac:dyDescent="0.2">
      <c r="A1368" s="517">
        <v>35</v>
      </c>
      <c r="B1368" s="485" t="s">
        <v>1698</v>
      </c>
      <c r="C1368" s="476" t="s">
        <v>5998</v>
      </c>
      <c r="D1368" s="464" t="s">
        <v>2758</v>
      </c>
      <c r="E1368" s="708" t="s">
        <v>2759</v>
      </c>
      <c r="F1368" s="466" t="s">
        <v>2755</v>
      </c>
      <c r="G1368" s="518" t="s">
        <v>5105</v>
      </c>
      <c r="H1368" s="477">
        <v>45169</v>
      </c>
      <c r="I1368" s="488">
        <f t="shared" si="55"/>
        <v>5352713.5135135129</v>
      </c>
      <c r="J1368" s="488">
        <f t="shared" si="56"/>
        <v>588798.48648648639</v>
      </c>
      <c r="K1368" s="474">
        <v>5941512</v>
      </c>
      <c r="L1368" s="475"/>
    </row>
    <row r="1369" spans="1:12" s="521" customFormat="1" ht="14.25" customHeight="1" x14ac:dyDescent="0.2">
      <c r="A1369" s="517">
        <v>36</v>
      </c>
      <c r="B1369" s="469" t="s">
        <v>1699</v>
      </c>
      <c r="C1369" s="476" t="s">
        <v>6003</v>
      </c>
      <c r="D1369" s="464" t="s">
        <v>2856</v>
      </c>
      <c r="E1369" s="465" t="s">
        <v>2857</v>
      </c>
      <c r="F1369" s="466" t="s">
        <v>2858</v>
      </c>
      <c r="G1369" s="518" t="s">
        <v>5106</v>
      </c>
      <c r="H1369" s="477">
        <v>45169</v>
      </c>
      <c r="I1369" s="473">
        <f t="shared" si="55"/>
        <v>1413243.2432432431</v>
      </c>
      <c r="J1369" s="473">
        <f t="shared" si="56"/>
        <v>155456.75675675675</v>
      </c>
      <c r="K1369" s="474">
        <v>1568700</v>
      </c>
      <c r="L1369" s="475"/>
    </row>
    <row r="1370" spans="1:12" s="521" customFormat="1" x14ac:dyDescent="0.2">
      <c r="A1370" s="517">
        <v>37</v>
      </c>
      <c r="B1370" s="485" t="s">
        <v>1700</v>
      </c>
      <c r="C1370" s="476" t="s">
        <v>6004</v>
      </c>
      <c r="D1370" s="487" t="s">
        <v>2753</v>
      </c>
      <c r="E1370" s="503" t="s">
        <v>2754</v>
      </c>
      <c r="F1370" s="504" t="s">
        <v>2755</v>
      </c>
      <c r="G1370" s="518" t="s">
        <v>5107</v>
      </c>
      <c r="H1370" s="477">
        <v>45169</v>
      </c>
      <c r="I1370" s="488">
        <f t="shared" si="55"/>
        <v>709459.45945945941</v>
      </c>
      <c r="J1370" s="488">
        <f t="shared" si="56"/>
        <v>78040.540540540533</v>
      </c>
      <c r="K1370" s="474">
        <v>787500</v>
      </c>
      <c r="L1370" s="475"/>
    </row>
    <row r="1371" spans="1:12" s="521" customFormat="1" x14ac:dyDescent="0.2">
      <c r="A1371" s="517">
        <v>38</v>
      </c>
      <c r="B1371" s="469" t="s">
        <v>1701</v>
      </c>
      <c r="C1371" s="476" t="s">
        <v>6005</v>
      </c>
      <c r="D1371" s="464" t="s">
        <v>2779</v>
      </c>
      <c r="E1371" s="471" t="s">
        <v>2780</v>
      </c>
      <c r="F1371" s="471" t="s">
        <v>2755</v>
      </c>
      <c r="G1371" s="518" t="s">
        <v>5108</v>
      </c>
      <c r="H1371" s="477">
        <v>45169</v>
      </c>
      <c r="I1371" s="473">
        <f t="shared" si="55"/>
        <v>267567.56756756752</v>
      </c>
      <c r="J1371" s="473">
        <f t="shared" si="56"/>
        <v>29432.432432432426</v>
      </c>
      <c r="K1371" s="474">
        <v>297000</v>
      </c>
      <c r="L1371" s="475"/>
    </row>
    <row r="1372" spans="1:12" s="521" customFormat="1" x14ac:dyDescent="0.2">
      <c r="A1372" s="517">
        <v>39</v>
      </c>
      <c r="B1372" s="485" t="s">
        <v>1702</v>
      </c>
      <c r="C1372" s="476" t="s">
        <v>6006</v>
      </c>
      <c r="D1372" s="511" t="s">
        <v>2773</v>
      </c>
      <c r="E1372" s="465" t="s">
        <v>2774</v>
      </c>
      <c r="F1372" s="510" t="s">
        <v>2755</v>
      </c>
      <c r="G1372" s="518" t="s">
        <v>5109</v>
      </c>
      <c r="H1372" s="477">
        <v>45169</v>
      </c>
      <c r="I1372" s="488">
        <f t="shared" si="55"/>
        <v>2844194.5945945946</v>
      </c>
      <c r="J1372" s="488">
        <f t="shared" si="56"/>
        <v>312861.40540540538</v>
      </c>
      <c r="K1372" s="474">
        <v>3157056</v>
      </c>
      <c r="L1372" s="475"/>
    </row>
    <row r="1373" spans="1:12" s="521" customFormat="1" x14ac:dyDescent="0.2">
      <c r="A1373" s="517">
        <v>40</v>
      </c>
      <c r="B1373" s="469" t="s">
        <v>1703</v>
      </c>
      <c r="C1373" s="476" t="s">
        <v>6122</v>
      </c>
      <c r="D1373" s="487"/>
      <c r="E1373" s="503" t="s">
        <v>2937</v>
      </c>
      <c r="F1373" s="504" t="s">
        <v>2823</v>
      </c>
      <c r="G1373" s="466"/>
      <c r="H1373" s="477">
        <v>45141</v>
      </c>
      <c r="I1373" s="473">
        <f t="shared" si="55"/>
        <v>14775324.324324323</v>
      </c>
      <c r="J1373" s="473">
        <f t="shared" si="56"/>
        <v>1625285.6756756755</v>
      </c>
      <c r="K1373" s="474">
        <f>6335550+4900176+5164884</f>
        <v>16400610</v>
      </c>
      <c r="L1373" s="475"/>
    </row>
    <row r="1374" spans="1:12" s="521" customFormat="1" x14ac:dyDescent="0.2">
      <c r="A1374" s="517">
        <v>41</v>
      </c>
      <c r="B1374" s="485" t="s">
        <v>1704</v>
      </c>
      <c r="C1374" s="476" t="s">
        <v>6047</v>
      </c>
      <c r="D1374" s="464"/>
      <c r="E1374" s="471" t="s">
        <v>3043</v>
      </c>
      <c r="F1374" s="471" t="s">
        <v>3044</v>
      </c>
      <c r="G1374" s="466"/>
      <c r="H1374" s="477">
        <v>45141</v>
      </c>
      <c r="I1374" s="488">
        <f t="shared" si="55"/>
        <v>3822081.0810810807</v>
      </c>
      <c r="J1374" s="488">
        <f t="shared" si="56"/>
        <v>420428.91891891888</v>
      </c>
      <c r="K1374" s="474">
        <v>4242510</v>
      </c>
      <c r="L1374" s="475"/>
    </row>
    <row r="1375" spans="1:12" s="521" customFormat="1" x14ac:dyDescent="0.2">
      <c r="A1375" s="517">
        <v>42</v>
      </c>
      <c r="B1375" s="469" t="s">
        <v>1705</v>
      </c>
      <c r="C1375" s="476" t="s">
        <v>6119</v>
      </c>
      <c r="D1375" s="464"/>
      <c r="E1375" s="465" t="s">
        <v>2898</v>
      </c>
      <c r="F1375" s="466" t="s">
        <v>2823</v>
      </c>
      <c r="G1375" s="466"/>
      <c r="H1375" s="477">
        <v>45141</v>
      </c>
      <c r="I1375" s="473">
        <f t="shared" si="55"/>
        <v>18966857.657657657</v>
      </c>
      <c r="J1375" s="473">
        <f t="shared" si="56"/>
        <v>2086354.3423423423</v>
      </c>
      <c r="K1375" s="474">
        <f>3279096+9769572+8004544</f>
        <v>21053212</v>
      </c>
      <c r="L1375" s="475"/>
    </row>
    <row r="1376" spans="1:12" s="521" customFormat="1" x14ac:dyDescent="0.2">
      <c r="A1376" s="517">
        <v>43</v>
      </c>
      <c r="B1376" s="485" t="s">
        <v>1706</v>
      </c>
      <c r="C1376" s="476" t="s">
        <v>6120</v>
      </c>
      <c r="D1376" s="464"/>
      <c r="E1376" s="465" t="s">
        <v>2900</v>
      </c>
      <c r="F1376" s="466" t="s">
        <v>2823</v>
      </c>
      <c r="G1376" s="466"/>
      <c r="H1376" s="477">
        <v>45143</v>
      </c>
      <c r="I1376" s="488">
        <f t="shared" si="55"/>
        <v>56127488.28828828</v>
      </c>
      <c r="J1376" s="488">
        <f t="shared" si="56"/>
        <v>6174023.7117117113</v>
      </c>
      <c r="K1376" s="474">
        <f>13186152+29090000+20025360</f>
        <v>62301512</v>
      </c>
      <c r="L1376" s="475"/>
    </row>
    <row r="1377" spans="1:12" x14ac:dyDescent="0.2">
      <c r="A1377" s="305">
        <v>44</v>
      </c>
      <c r="B1377" s="469" t="s">
        <v>1707</v>
      </c>
      <c r="C1377" s="476" t="s">
        <v>6048</v>
      </c>
      <c r="D1377" s="464"/>
      <c r="E1377" s="465" t="s">
        <v>2947</v>
      </c>
      <c r="F1377" s="466" t="s">
        <v>2823</v>
      </c>
      <c r="G1377" s="750"/>
      <c r="H1377" s="477">
        <v>45143</v>
      </c>
      <c r="I1377" s="473">
        <f t="shared" si="55"/>
        <v>4226010.8108108109</v>
      </c>
      <c r="J1377" s="473">
        <f t="shared" si="56"/>
        <v>464861.18918918917</v>
      </c>
      <c r="K1377" s="474">
        <v>4690872</v>
      </c>
      <c r="L1377" s="475"/>
    </row>
    <row r="1378" spans="1:12" x14ac:dyDescent="0.2">
      <c r="A1378" s="305">
        <v>45</v>
      </c>
      <c r="B1378" s="485" t="s">
        <v>1708</v>
      </c>
      <c r="C1378" s="476" t="s">
        <v>6061</v>
      </c>
      <c r="D1378" s="464"/>
      <c r="E1378" s="465" t="s">
        <v>2948</v>
      </c>
      <c r="F1378" s="466" t="s">
        <v>2892</v>
      </c>
      <c r="G1378" s="750"/>
      <c r="H1378" s="477">
        <v>45140</v>
      </c>
      <c r="I1378" s="488">
        <f t="shared" si="55"/>
        <v>6134432.4324324317</v>
      </c>
      <c r="J1378" s="488">
        <f t="shared" si="56"/>
        <v>674787.56756756746</v>
      </c>
      <c r="K1378" s="474">
        <f>1580040+1723680+3505500</f>
        <v>6809220</v>
      </c>
      <c r="L1378" s="475"/>
    </row>
    <row r="1379" spans="1:12" x14ac:dyDescent="0.2">
      <c r="A1379" s="305">
        <v>46</v>
      </c>
      <c r="B1379" s="469" t="s">
        <v>1709</v>
      </c>
      <c r="C1379" s="476" t="s">
        <v>6086</v>
      </c>
      <c r="D1379" s="464"/>
      <c r="E1379" s="465" t="s">
        <v>2914</v>
      </c>
      <c r="F1379" s="466" t="s">
        <v>2915</v>
      </c>
      <c r="G1379" s="750"/>
      <c r="H1379" s="477">
        <v>45140</v>
      </c>
      <c r="I1379" s="473">
        <f t="shared" si="55"/>
        <v>1954945.9459459458</v>
      </c>
      <c r="J1379" s="473">
        <f t="shared" si="56"/>
        <v>215044.05405405405</v>
      </c>
      <c r="K1379" s="474">
        <f>1467180+35910+666900</f>
        <v>2169990</v>
      </c>
      <c r="L1379" s="475"/>
    </row>
    <row r="1380" spans="1:12" x14ac:dyDescent="0.2">
      <c r="A1380" s="305">
        <v>47</v>
      </c>
      <c r="B1380" s="485" t="s">
        <v>1710</v>
      </c>
      <c r="C1380" s="476" t="s">
        <v>6049</v>
      </c>
      <c r="D1380" s="464"/>
      <c r="E1380" s="465" t="s">
        <v>2921</v>
      </c>
      <c r="F1380" s="466" t="s">
        <v>2922</v>
      </c>
      <c r="G1380" s="750"/>
      <c r="H1380" s="477">
        <v>45140</v>
      </c>
      <c r="I1380" s="488">
        <f t="shared" si="55"/>
        <v>192567.56756756754</v>
      </c>
      <c r="J1380" s="488">
        <f t="shared" si="56"/>
        <v>21182.43243243243</v>
      </c>
      <c r="K1380" s="474">
        <v>213750</v>
      </c>
      <c r="L1380" s="475"/>
    </row>
    <row r="1381" spans="1:12" x14ac:dyDescent="0.2">
      <c r="A1381" s="305">
        <v>48</v>
      </c>
      <c r="B1381" s="469" t="s">
        <v>1711</v>
      </c>
      <c r="C1381" s="476" t="s">
        <v>6067</v>
      </c>
      <c r="D1381" s="464"/>
      <c r="E1381" s="465" t="s">
        <v>2907</v>
      </c>
      <c r="F1381" s="466" t="s">
        <v>2953</v>
      </c>
      <c r="G1381" s="750"/>
      <c r="H1381" s="477">
        <v>45142</v>
      </c>
      <c r="I1381" s="473">
        <f t="shared" si="55"/>
        <v>8612854.0540540535</v>
      </c>
      <c r="J1381" s="473">
        <f t="shared" si="56"/>
        <v>947413.94594594592</v>
      </c>
      <c r="K1381" s="474">
        <f>1280448+8279820</f>
        <v>9560268</v>
      </c>
      <c r="L1381" s="475"/>
    </row>
    <row r="1382" spans="1:12" x14ac:dyDescent="0.2">
      <c r="A1382" s="305">
        <v>49</v>
      </c>
      <c r="B1382" s="485" t="s">
        <v>1712</v>
      </c>
      <c r="C1382" s="476" t="s">
        <v>6065</v>
      </c>
      <c r="D1382" s="464"/>
      <c r="E1382" s="465" t="s">
        <v>2945</v>
      </c>
      <c r="F1382" s="466" t="s">
        <v>2946</v>
      </c>
      <c r="G1382" s="750"/>
      <c r="H1382" s="477">
        <v>45142</v>
      </c>
      <c r="I1382" s="488">
        <f t="shared" si="55"/>
        <v>3924218.9189189184</v>
      </c>
      <c r="J1382" s="488">
        <f t="shared" si="56"/>
        <v>431664.08108108101</v>
      </c>
      <c r="K1382" s="474">
        <f>1487187+1403568+1465128</f>
        <v>4355883</v>
      </c>
      <c r="L1382" s="475"/>
    </row>
    <row r="1383" spans="1:12" x14ac:dyDescent="0.2">
      <c r="A1383" s="305">
        <v>50</v>
      </c>
      <c r="B1383" s="469" t="s">
        <v>1713</v>
      </c>
      <c r="C1383" s="476" t="s">
        <v>6060</v>
      </c>
      <c r="D1383" s="464"/>
      <c r="E1383" s="465" t="s">
        <v>2907</v>
      </c>
      <c r="F1383" s="466" t="s">
        <v>2908</v>
      </c>
      <c r="G1383" s="750"/>
      <c r="H1383" s="477">
        <v>45141</v>
      </c>
      <c r="I1383" s="473">
        <f t="shared" si="55"/>
        <v>5962707.2072072066</v>
      </c>
      <c r="J1383" s="473">
        <f t="shared" si="56"/>
        <v>655897.79279279278</v>
      </c>
      <c r="K1383" s="474">
        <f>4040388+897750+1680467</f>
        <v>6618605</v>
      </c>
      <c r="L1383" s="475"/>
    </row>
    <row r="1384" spans="1:12" x14ac:dyDescent="0.2">
      <c r="A1384" s="305">
        <v>51</v>
      </c>
      <c r="B1384" s="485" t="s">
        <v>1714</v>
      </c>
      <c r="C1384" s="476" t="s">
        <v>6115</v>
      </c>
      <c r="D1384" s="464"/>
      <c r="E1384" s="465" t="s">
        <v>3014</v>
      </c>
      <c r="F1384" s="466" t="s">
        <v>3006</v>
      </c>
      <c r="G1384" s="750"/>
      <c r="H1384" s="477">
        <v>45142</v>
      </c>
      <c r="I1384" s="488">
        <f t="shared" si="55"/>
        <v>11142499.099099098</v>
      </c>
      <c r="J1384" s="488">
        <f t="shared" si="56"/>
        <v>1225674.9009009008</v>
      </c>
      <c r="K1384" s="474">
        <f>4447454+3652560+4268160</f>
        <v>12368174</v>
      </c>
      <c r="L1384" s="475"/>
    </row>
    <row r="1385" spans="1:12" x14ac:dyDescent="0.2">
      <c r="A1385" s="305">
        <v>52</v>
      </c>
      <c r="B1385" s="469" t="s">
        <v>1715</v>
      </c>
      <c r="C1385" s="476" t="s">
        <v>6050</v>
      </c>
      <c r="D1385" s="464"/>
      <c r="E1385" s="465" t="s">
        <v>3454</v>
      </c>
      <c r="F1385" s="466" t="s">
        <v>2944</v>
      </c>
      <c r="G1385" s="750"/>
      <c r="H1385" s="477">
        <v>45141</v>
      </c>
      <c r="I1385" s="473">
        <f t="shared" si="55"/>
        <v>1869472.9729729728</v>
      </c>
      <c r="J1385" s="473">
        <f t="shared" si="56"/>
        <v>205642.02702702701</v>
      </c>
      <c r="K1385" s="474">
        <v>2075115</v>
      </c>
      <c r="L1385" s="475"/>
    </row>
    <row r="1386" spans="1:12" x14ac:dyDescent="0.2">
      <c r="A1386" s="305">
        <v>53</v>
      </c>
      <c r="B1386" s="485" t="s">
        <v>1716</v>
      </c>
      <c r="C1386" s="476" t="s">
        <v>6054</v>
      </c>
      <c r="D1386" s="464"/>
      <c r="E1386" s="471" t="s">
        <v>6051</v>
      </c>
      <c r="F1386" s="471" t="s">
        <v>2912</v>
      </c>
      <c r="G1386" s="750"/>
      <c r="H1386" s="472">
        <v>45142</v>
      </c>
      <c r="I1386" s="488">
        <f t="shared" si="55"/>
        <v>3914764.8648648644</v>
      </c>
      <c r="J1386" s="488">
        <f t="shared" si="56"/>
        <v>430624.13513513509</v>
      </c>
      <c r="K1386" s="474">
        <f>2668797+864000+812592</f>
        <v>4345389</v>
      </c>
      <c r="L1386" s="475"/>
    </row>
    <row r="1387" spans="1:12" x14ac:dyDescent="0.2">
      <c r="A1387" s="305">
        <v>54</v>
      </c>
      <c r="B1387" s="469" t="s">
        <v>1717</v>
      </c>
      <c r="C1387" s="476" t="s">
        <v>6062</v>
      </c>
      <c r="D1387" s="464"/>
      <c r="E1387" s="465" t="s">
        <v>2934</v>
      </c>
      <c r="F1387" s="466" t="s">
        <v>2935</v>
      </c>
      <c r="G1387" s="750"/>
      <c r="H1387" s="477">
        <v>45142</v>
      </c>
      <c r="I1387" s="473">
        <f t="shared" si="55"/>
        <v>10226678.378378378</v>
      </c>
      <c r="J1387" s="473">
        <f t="shared" si="56"/>
        <v>1124934.6216216215</v>
      </c>
      <c r="K1387" s="474">
        <f>1465128+5010933+4875552</f>
        <v>11351613</v>
      </c>
      <c r="L1387" s="475"/>
    </row>
    <row r="1388" spans="1:12" x14ac:dyDescent="0.2">
      <c r="A1388" s="305">
        <v>55</v>
      </c>
      <c r="B1388" s="485" t="s">
        <v>1718</v>
      </c>
      <c r="C1388" s="476" t="s">
        <v>6209</v>
      </c>
      <c r="D1388" s="464"/>
      <c r="E1388" s="465" t="s">
        <v>3538</v>
      </c>
      <c r="F1388" s="466" t="s">
        <v>2890</v>
      </c>
      <c r="G1388" s="750"/>
      <c r="H1388" s="477">
        <v>45143</v>
      </c>
      <c r="I1388" s="488">
        <f>K1388/1.11</f>
        <v>5291756.7567567565</v>
      </c>
      <c r="J1388" s="488">
        <f>I1388*11%</f>
        <v>582093.2432432432</v>
      </c>
      <c r="K1388" s="474">
        <f>1539000+3544830+790020</f>
        <v>5873850</v>
      </c>
      <c r="L1388" s="475"/>
    </row>
    <row r="1389" spans="1:12" x14ac:dyDescent="0.2">
      <c r="A1389" s="305">
        <v>56</v>
      </c>
      <c r="B1389" s="469" t="s">
        <v>1719</v>
      </c>
      <c r="C1389" s="476" t="s">
        <v>6205</v>
      </c>
      <c r="D1389" s="464"/>
      <c r="E1389" s="479" t="s">
        <v>2954</v>
      </c>
      <c r="F1389" s="466" t="s">
        <v>2955</v>
      </c>
      <c r="G1389" s="750"/>
      <c r="H1389" s="477">
        <v>45141</v>
      </c>
      <c r="I1389" s="473">
        <f t="shared" si="55"/>
        <v>3913393.6936936933</v>
      </c>
      <c r="J1389" s="473">
        <f t="shared" si="56"/>
        <v>430473.30630630627</v>
      </c>
      <c r="K1389" s="474">
        <f>897750+1261980+2184137</f>
        <v>4343867</v>
      </c>
      <c r="L1389" s="475"/>
    </row>
    <row r="1390" spans="1:12" x14ac:dyDescent="0.2">
      <c r="A1390" s="305">
        <v>57</v>
      </c>
      <c r="B1390" s="485" t="s">
        <v>1720</v>
      </c>
      <c r="C1390" s="476" t="s">
        <v>6052</v>
      </c>
      <c r="D1390" s="464"/>
      <c r="E1390" s="465" t="s">
        <v>2943</v>
      </c>
      <c r="F1390" s="466" t="s">
        <v>2944</v>
      </c>
      <c r="G1390" s="750"/>
      <c r="H1390" s="477">
        <v>45143</v>
      </c>
      <c r="I1390" s="488">
        <f t="shared" si="55"/>
        <v>546081.08108108107</v>
      </c>
      <c r="J1390" s="488">
        <f t="shared" si="56"/>
        <v>60068.91891891892</v>
      </c>
      <c r="K1390" s="474">
        <v>606150</v>
      </c>
      <c r="L1390" s="475"/>
    </row>
    <row r="1391" spans="1:12" x14ac:dyDescent="0.2">
      <c r="A1391" s="305">
        <v>58</v>
      </c>
      <c r="B1391" s="469" t="s">
        <v>1721</v>
      </c>
      <c r="C1391" s="476" t="s">
        <v>6083</v>
      </c>
      <c r="D1391" s="464"/>
      <c r="E1391" s="465" t="s">
        <v>2939</v>
      </c>
      <c r="F1391" s="466" t="s">
        <v>2940</v>
      </c>
      <c r="G1391" s="750"/>
      <c r="H1391" s="477">
        <v>45142</v>
      </c>
      <c r="I1391" s="473">
        <f t="shared" si="55"/>
        <v>6782229.7297297288</v>
      </c>
      <c r="J1391" s="473">
        <f t="shared" si="56"/>
        <v>746045.27027027018</v>
      </c>
      <c r="K1391" s="474">
        <f>1513350+3490965+2523960</f>
        <v>7528275</v>
      </c>
      <c r="L1391" s="475"/>
    </row>
    <row r="1392" spans="1:12" x14ac:dyDescent="0.2">
      <c r="A1392" s="305">
        <v>59</v>
      </c>
      <c r="B1392" s="485" t="s">
        <v>1722</v>
      </c>
      <c r="C1392" s="476" t="s">
        <v>6053</v>
      </c>
      <c r="D1392" s="464"/>
      <c r="E1392" s="465" t="s">
        <v>3452</v>
      </c>
      <c r="F1392" s="466" t="s">
        <v>2944</v>
      </c>
      <c r="G1392" s="750"/>
      <c r="H1392" s="477">
        <v>45143</v>
      </c>
      <c r="I1392" s="488">
        <f t="shared" si="55"/>
        <v>1988527.0270270268</v>
      </c>
      <c r="J1392" s="488">
        <f t="shared" si="56"/>
        <v>218737.97297297293</v>
      </c>
      <c r="K1392" s="474">
        <v>2207265</v>
      </c>
      <c r="L1392" s="475"/>
    </row>
    <row r="1393" spans="1:12" x14ac:dyDescent="0.2">
      <c r="A1393" s="305">
        <v>60</v>
      </c>
      <c r="B1393" s="469" t="s">
        <v>1723</v>
      </c>
      <c r="C1393" s="476" t="s">
        <v>6069</v>
      </c>
      <c r="D1393" s="464"/>
      <c r="E1393" s="465" t="s">
        <v>5041</v>
      </c>
      <c r="F1393" s="466" t="s">
        <v>2828</v>
      </c>
      <c r="G1393" s="750"/>
      <c r="H1393" s="477">
        <v>45145</v>
      </c>
      <c r="I1393" s="473">
        <f t="shared" si="55"/>
        <v>10540070.270270269</v>
      </c>
      <c r="J1393" s="473">
        <f t="shared" si="56"/>
        <v>1159407.7297297297</v>
      </c>
      <c r="K1393" s="474">
        <f>1671354+3342708+6685416</f>
        <v>11699478</v>
      </c>
      <c r="L1393" s="475"/>
    </row>
    <row r="1394" spans="1:12" x14ac:dyDescent="0.2">
      <c r="A1394" s="305">
        <v>61</v>
      </c>
      <c r="B1394" s="485" t="s">
        <v>1724</v>
      </c>
      <c r="C1394" s="476" t="s">
        <v>6187</v>
      </c>
      <c r="D1394" s="464"/>
      <c r="E1394" s="465" t="s">
        <v>3494</v>
      </c>
      <c r="F1394" s="466" t="s">
        <v>2912</v>
      </c>
      <c r="G1394" s="750"/>
      <c r="H1394" s="477">
        <v>45145</v>
      </c>
      <c r="I1394" s="488">
        <f t="shared" si="55"/>
        <v>3253621.6216216213</v>
      </c>
      <c r="J1394" s="488">
        <f t="shared" si="56"/>
        <v>357898.37837837834</v>
      </c>
      <c r="K1394" s="474">
        <f>430920+1590300+1590300</f>
        <v>3611520</v>
      </c>
      <c r="L1394" s="475"/>
    </row>
    <row r="1395" spans="1:12" x14ac:dyDescent="0.2">
      <c r="A1395" s="305">
        <v>62</v>
      </c>
      <c r="B1395" s="469" t="s">
        <v>1725</v>
      </c>
      <c r="C1395" s="476" t="s">
        <v>6055</v>
      </c>
      <c r="D1395" s="464"/>
      <c r="E1395" s="465" t="s">
        <v>3164</v>
      </c>
      <c r="F1395" s="466" t="s">
        <v>2928</v>
      </c>
      <c r="G1395" s="750"/>
      <c r="H1395" s="477">
        <v>45146</v>
      </c>
      <c r="I1395" s="473">
        <f t="shared" si="55"/>
        <v>2630630.6306306305</v>
      </c>
      <c r="J1395" s="473">
        <f t="shared" si="56"/>
        <v>289369.36936936935</v>
      </c>
      <c r="K1395" s="474">
        <v>2920000</v>
      </c>
      <c r="L1395" s="475"/>
    </row>
    <row r="1396" spans="1:12" x14ac:dyDescent="0.2">
      <c r="A1396" s="305">
        <v>63</v>
      </c>
      <c r="B1396" s="485" t="s">
        <v>1726</v>
      </c>
      <c r="C1396" s="476" t="s">
        <v>6070</v>
      </c>
      <c r="D1396" s="464"/>
      <c r="E1396" s="465" t="s">
        <v>2893</v>
      </c>
      <c r="F1396" s="466" t="s">
        <v>2890</v>
      </c>
      <c r="G1396" s="750"/>
      <c r="H1396" s="477">
        <v>45143</v>
      </c>
      <c r="I1396" s="488">
        <f t="shared" si="55"/>
        <v>11423724.324324323</v>
      </c>
      <c r="J1396" s="488">
        <f t="shared" si="56"/>
        <v>1256609.6756756755</v>
      </c>
      <c r="K1396" s="474">
        <f>2363904+4407696+5908734</f>
        <v>12680334</v>
      </c>
      <c r="L1396" s="475"/>
    </row>
    <row r="1397" spans="1:12" x14ac:dyDescent="0.2">
      <c r="A1397" s="305">
        <v>64</v>
      </c>
      <c r="B1397" s="469" t="s">
        <v>1727</v>
      </c>
      <c r="C1397" s="476" t="s">
        <v>6088</v>
      </c>
      <c r="D1397" s="464"/>
      <c r="E1397" s="465" t="s">
        <v>2981</v>
      </c>
      <c r="F1397" s="466" t="s">
        <v>2982</v>
      </c>
      <c r="G1397" s="750"/>
      <c r="H1397" s="477">
        <v>45146</v>
      </c>
      <c r="I1397" s="473">
        <f t="shared" si="55"/>
        <v>14296339.639639638</v>
      </c>
      <c r="J1397" s="473">
        <f t="shared" si="56"/>
        <v>1572597.3603603602</v>
      </c>
      <c r="K1397" s="474">
        <f>3719455+4023562+8125920</f>
        <v>15868937</v>
      </c>
      <c r="L1397" s="475"/>
    </row>
    <row r="1398" spans="1:12" x14ac:dyDescent="0.2">
      <c r="A1398" s="305">
        <v>65</v>
      </c>
      <c r="B1398" s="485" t="s">
        <v>1728</v>
      </c>
      <c r="C1398" s="476" t="s">
        <v>6114</v>
      </c>
      <c r="D1398" s="464"/>
      <c r="E1398" s="465" t="s">
        <v>6909</v>
      </c>
      <c r="F1398" s="466" t="s">
        <v>2886</v>
      </c>
      <c r="G1398" s="750"/>
      <c r="H1398" s="477">
        <v>45146</v>
      </c>
      <c r="I1398" s="488">
        <f t="shared" si="55"/>
        <v>7057524.3243243238</v>
      </c>
      <c r="J1398" s="488">
        <f t="shared" si="56"/>
        <v>776327.67567567562</v>
      </c>
      <c r="K1398" s="474">
        <f>1164510+3393837+3275505</f>
        <v>7833852</v>
      </c>
      <c r="L1398" s="475"/>
    </row>
    <row r="1399" spans="1:12" x14ac:dyDescent="0.2">
      <c r="A1399" s="305">
        <v>66</v>
      </c>
      <c r="B1399" s="469" t="s">
        <v>1729</v>
      </c>
      <c r="C1399" s="476" t="s">
        <v>6082</v>
      </c>
      <c r="D1399" s="464"/>
      <c r="E1399" s="465" t="s">
        <v>2907</v>
      </c>
      <c r="F1399" s="466" t="s">
        <v>2858</v>
      </c>
      <c r="G1399" s="750"/>
      <c r="H1399" s="477">
        <v>45145</v>
      </c>
      <c r="I1399" s="473">
        <f t="shared" si="55"/>
        <v>43006021.621621616</v>
      </c>
      <c r="J1399" s="473">
        <f t="shared" si="56"/>
        <v>4730662.3783783782</v>
      </c>
      <c r="K1399" s="474">
        <f>41703804+3508920+2523960</f>
        <v>47736684</v>
      </c>
      <c r="L1399" s="475"/>
    </row>
    <row r="1400" spans="1:12" x14ac:dyDescent="0.2">
      <c r="A1400" s="305">
        <v>67</v>
      </c>
      <c r="B1400" s="485" t="s">
        <v>1730</v>
      </c>
      <c r="C1400" s="476" t="s">
        <v>6056</v>
      </c>
      <c r="D1400" s="464"/>
      <c r="E1400" s="465" t="s">
        <v>3141</v>
      </c>
      <c r="F1400" s="466" t="s">
        <v>2873</v>
      </c>
      <c r="G1400" s="750"/>
      <c r="H1400" s="477">
        <v>45140</v>
      </c>
      <c r="I1400" s="488">
        <f t="shared" ref="I1400:I1462" si="57">K1400/1.11</f>
        <v>355675.67567567562</v>
      </c>
      <c r="J1400" s="488">
        <f t="shared" ref="J1400:J1462" si="58">I1400*11%</f>
        <v>39124.32432432432</v>
      </c>
      <c r="K1400" s="474">
        <f>90600+304200</f>
        <v>394800</v>
      </c>
      <c r="L1400" s="475"/>
    </row>
    <row r="1401" spans="1:12" x14ac:dyDescent="0.2">
      <c r="A1401" s="305">
        <v>68</v>
      </c>
      <c r="B1401" s="469" t="s">
        <v>1731</v>
      </c>
      <c r="C1401" s="476" t="s">
        <v>6158</v>
      </c>
      <c r="D1401" s="464"/>
      <c r="E1401" s="465" t="s">
        <v>2927</v>
      </c>
      <c r="F1401" s="466" t="s">
        <v>2928</v>
      </c>
      <c r="G1401" s="750"/>
      <c r="H1401" s="477">
        <v>45141</v>
      </c>
      <c r="I1401" s="473">
        <f t="shared" si="57"/>
        <v>9560594.5945945941</v>
      </c>
      <c r="J1401" s="473">
        <f t="shared" si="58"/>
        <v>1051665.4054054054</v>
      </c>
      <c r="K1401" s="474">
        <f>338580+6020397+4253283</f>
        <v>10612260</v>
      </c>
      <c r="L1401" s="475"/>
    </row>
    <row r="1402" spans="1:12" x14ac:dyDescent="0.2">
      <c r="A1402" s="305">
        <v>69</v>
      </c>
      <c r="B1402" s="485" t="s">
        <v>1732</v>
      </c>
      <c r="C1402" s="476" t="s">
        <v>6112</v>
      </c>
      <c r="D1402" s="464"/>
      <c r="E1402" s="465" t="s">
        <v>2895</v>
      </c>
      <c r="F1402" s="466" t="s">
        <v>2890</v>
      </c>
      <c r="G1402" s="750"/>
      <c r="H1402" s="477">
        <v>45141</v>
      </c>
      <c r="I1402" s="488">
        <f t="shared" si="57"/>
        <v>14969894.594594594</v>
      </c>
      <c r="J1402" s="488">
        <f t="shared" si="58"/>
        <v>1646688.4054054054</v>
      </c>
      <c r="K1402" s="474">
        <f>8035632+1179900+7401051</f>
        <v>16616583</v>
      </c>
      <c r="L1402" s="475"/>
    </row>
    <row r="1403" spans="1:12" x14ac:dyDescent="0.2">
      <c r="A1403" s="305">
        <v>70</v>
      </c>
      <c r="B1403" s="469" t="s">
        <v>1733</v>
      </c>
      <c r="C1403" s="476" t="s">
        <v>6091</v>
      </c>
      <c r="D1403" s="464"/>
      <c r="E1403" s="465" t="s">
        <v>3156</v>
      </c>
      <c r="F1403" s="466" t="s">
        <v>2912</v>
      </c>
      <c r="G1403" s="750"/>
      <c r="H1403" s="477">
        <v>45142</v>
      </c>
      <c r="I1403" s="473">
        <f t="shared" si="57"/>
        <v>2609348.6486486485</v>
      </c>
      <c r="J1403" s="473">
        <f t="shared" si="58"/>
        <v>287028.35135135136</v>
      </c>
      <c r="K1403" s="474">
        <f>772578+258000+1865799</f>
        <v>2896377</v>
      </c>
      <c r="L1403" s="475"/>
    </row>
    <row r="1404" spans="1:12" x14ac:dyDescent="0.2">
      <c r="A1404" s="305">
        <v>71</v>
      </c>
      <c r="B1404" s="485" t="s">
        <v>1734</v>
      </c>
      <c r="C1404" s="476" t="s">
        <v>6155</v>
      </c>
      <c r="D1404" s="464"/>
      <c r="E1404" s="465" t="s">
        <v>2984</v>
      </c>
      <c r="F1404" s="466" t="s">
        <v>2873</v>
      </c>
      <c r="G1404" s="750"/>
      <c r="H1404" s="477">
        <v>45143</v>
      </c>
      <c r="I1404" s="488">
        <f t="shared" si="57"/>
        <v>3211390.9909909908</v>
      </c>
      <c r="J1404" s="488">
        <f t="shared" si="58"/>
        <v>353253.00900900899</v>
      </c>
      <c r="K1404" s="474">
        <f>1508049+1415880+640715</f>
        <v>3564644</v>
      </c>
      <c r="L1404" s="475"/>
    </row>
    <row r="1405" spans="1:12" x14ac:dyDescent="0.2">
      <c r="A1405" s="305">
        <v>72</v>
      </c>
      <c r="B1405" s="469" t="s">
        <v>1735</v>
      </c>
      <c r="C1405" s="476" t="s">
        <v>6159</v>
      </c>
      <c r="D1405" s="464"/>
      <c r="E1405" s="465" t="s">
        <v>2956</v>
      </c>
      <c r="F1405" s="466" t="s">
        <v>2755</v>
      </c>
      <c r="G1405" s="750"/>
      <c r="H1405" s="477">
        <v>45143</v>
      </c>
      <c r="I1405" s="473">
        <f t="shared" si="57"/>
        <v>2591863.0630630627</v>
      </c>
      <c r="J1405" s="473">
        <f t="shared" si="58"/>
        <v>285104.93693693692</v>
      </c>
      <c r="K1405" s="474">
        <f>1427230+1449738</f>
        <v>2876968</v>
      </c>
      <c r="L1405" s="475"/>
    </row>
    <row r="1406" spans="1:12" x14ac:dyDescent="0.2">
      <c r="A1406" s="305">
        <v>73</v>
      </c>
      <c r="B1406" s="485" t="s">
        <v>1736</v>
      </c>
      <c r="C1406" s="476" t="s">
        <v>6057</v>
      </c>
      <c r="D1406" s="464"/>
      <c r="E1406" s="471" t="s">
        <v>3907</v>
      </c>
      <c r="F1406" s="471" t="s">
        <v>2873</v>
      </c>
      <c r="G1406" s="750"/>
      <c r="H1406" s="472">
        <v>45143</v>
      </c>
      <c r="I1406" s="488">
        <f t="shared" si="57"/>
        <v>598962.16216216213</v>
      </c>
      <c r="J1406" s="488">
        <f t="shared" si="58"/>
        <v>65885.83783783784</v>
      </c>
      <c r="K1406" s="474">
        <v>664848</v>
      </c>
      <c r="L1406" s="475"/>
    </row>
    <row r="1407" spans="1:12" x14ac:dyDescent="0.2">
      <c r="A1407" s="305">
        <v>74</v>
      </c>
      <c r="B1407" s="469" t="s">
        <v>1737</v>
      </c>
      <c r="C1407" s="476" t="s">
        <v>6058</v>
      </c>
      <c r="D1407" s="464"/>
      <c r="E1407" s="465" t="s">
        <v>5177</v>
      </c>
      <c r="F1407" s="466" t="s">
        <v>2886</v>
      </c>
      <c r="G1407" s="750"/>
      <c r="H1407" s="477">
        <v>45145</v>
      </c>
      <c r="I1407" s="473">
        <f t="shared" si="57"/>
        <v>139572.97297297296</v>
      </c>
      <c r="J1407" s="473">
        <f t="shared" si="58"/>
        <v>15353.027027027025</v>
      </c>
      <c r="K1407" s="474">
        <v>154926</v>
      </c>
      <c r="L1407" s="475"/>
    </row>
    <row r="1408" spans="1:12" s="521" customFormat="1" x14ac:dyDescent="0.2">
      <c r="A1408" s="517">
        <v>75</v>
      </c>
      <c r="B1408" s="485" t="s">
        <v>1738</v>
      </c>
      <c r="C1408" s="476" t="s">
        <v>6182</v>
      </c>
      <c r="D1408" s="464"/>
      <c r="E1408" s="465" t="s">
        <v>2898</v>
      </c>
      <c r="F1408" s="466" t="s">
        <v>2823</v>
      </c>
      <c r="G1408" s="464"/>
      <c r="H1408" s="477">
        <v>45140</v>
      </c>
      <c r="I1408" s="488">
        <f t="shared" si="57"/>
        <v>23809054.054054052</v>
      </c>
      <c r="J1408" s="488">
        <f t="shared" si="58"/>
        <v>2618995.9459459456</v>
      </c>
      <c r="K1408" s="474">
        <f>7750404+14553126+4124520</f>
        <v>26428050</v>
      </c>
      <c r="L1408" s="475"/>
    </row>
    <row r="1409" spans="1:12" x14ac:dyDescent="0.2">
      <c r="A1409" s="305">
        <v>76</v>
      </c>
      <c r="B1409" s="469" t="s">
        <v>1739</v>
      </c>
      <c r="C1409" s="476" t="s">
        <v>6059</v>
      </c>
      <c r="D1409" s="464"/>
      <c r="E1409" s="465" t="s">
        <v>3915</v>
      </c>
      <c r="F1409" s="466" t="s">
        <v>2912</v>
      </c>
      <c r="G1409" s="750"/>
      <c r="H1409" s="477">
        <v>45147</v>
      </c>
      <c r="I1409" s="473">
        <f t="shared" si="57"/>
        <v>297297.29729729728</v>
      </c>
      <c r="J1409" s="473">
        <f t="shared" si="58"/>
        <v>32702.7027027027</v>
      </c>
      <c r="K1409" s="474">
        <v>330000</v>
      </c>
      <c r="L1409" s="475"/>
    </row>
    <row r="1410" spans="1:12" x14ac:dyDescent="0.2">
      <c r="A1410" s="305">
        <v>77</v>
      </c>
      <c r="B1410" s="485" t="s">
        <v>1740</v>
      </c>
      <c r="C1410" s="476" t="s">
        <v>6080</v>
      </c>
      <c r="D1410" s="464"/>
      <c r="E1410" s="465" t="s">
        <v>2894</v>
      </c>
      <c r="F1410" s="466" t="s">
        <v>2851</v>
      </c>
      <c r="G1410" s="750"/>
      <c r="H1410" s="477">
        <v>45141</v>
      </c>
      <c r="I1410" s="488">
        <f t="shared" si="57"/>
        <v>36287124.324324325</v>
      </c>
      <c r="J1410" s="488">
        <f t="shared" si="58"/>
        <v>3991583.6756756757</v>
      </c>
      <c r="K1410" s="474">
        <f>10028124+13370832+16879752</f>
        <v>40278708</v>
      </c>
      <c r="L1410" s="475"/>
    </row>
    <row r="1411" spans="1:12" x14ac:dyDescent="0.2">
      <c r="A1411" s="305">
        <v>78</v>
      </c>
      <c r="B1411" s="469" t="s">
        <v>1741</v>
      </c>
      <c r="C1411" s="476" t="s">
        <v>6085</v>
      </c>
      <c r="D1411" s="464"/>
      <c r="E1411" s="465" t="s">
        <v>2881</v>
      </c>
      <c r="F1411" s="466" t="s">
        <v>2808</v>
      </c>
      <c r="G1411" s="750"/>
      <c r="H1411" s="477">
        <v>45143</v>
      </c>
      <c r="I1411" s="473">
        <f t="shared" si="57"/>
        <v>27574443.24324324</v>
      </c>
      <c r="J1411" s="473">
        <f t="shared" si="58"/>
        <v>3033188.7567567565</v>
      </c>
      <c r="K1411" s="474">
        <f>7904304+5180274+17523054</f>
        <v>30607632</v>
      </c>
      <c r="L1411" s="475"/>
    </row>
    <row r="1412" spans="1:12" x14ac:dyDescent="0.2">
      <c r="A1412" s="305">
        <v>79</v>
      </c>
      <c r="B1412" s="485" t="s">
        <v>1742</v>
      </c>
      <c r="C1412" s="476" t="s">
        <v>6201</v>
      </c>
      <c r="D1412" s="464"/>
      <c r="E1412" s="465" t="s">
        <v>2961</v>
      </c>
      <c r="F1412" s="466" t="s">
        <v>2953</v>
      </c>
      <c r="G1412" s="750"/>
      <c r="H1412" s="477">
        <v>45143</v>
      </c>
      <c r="I1412" s="488">
        <f t="shared" si="57"/>
        <v>11919316.216216216</v>
      </c>
      <c r="J1412" s="488">
        <f t="shared" si="58"/>
        <v>1311124.7837837837</v>
      </c>
      <c r="K1412" s="474">
        <f>6685416+2915550+3629475</f>
        <v>13230441</v>
      </c>
      <c r="L1412" s="475"/>
    </row>
    <row r="1413" spans="1:12" x14ac:dyDescent="0.2">
      <c r="A1413" s="305">
        <v>80</v>
      </c>
      <c r="B1413" s="469" t="s">
        <v>1743</v>
      </c>
      <c r="C1413" s="476" t="s">
        <v>6157</v>
      </c>
      <c r="D1413" s="464"/>
      <c r="E1413" s="465" t="s">
        <v>4582</v>
      </c>
      <c r="F1413" s="466" t="s">
        <v>2792</v>
      </c>
      <c r="G1413" s="750"/>
      <c r="H1413" s="477">
        <v>45143</v>
      </c>
      <c r="I1413" s="473">
        <f t="shared" si="57"/>
        <v>17674929.729729727</v>
      </c>
      <c r="J1413" s="473">
        <f t="shared" si="58"/>
        <v>1944242.2702702701</v>
      </c>
      <c r="K1413" s="474">
        <f>2924100+6685416+10009656</f>
        <v>19619172</v>
      </c>
      <c r="L1413" s="475"/>
    </row>
    <row r="1414" spans="1:12" x14ac:dyDescent="0.2">
      <c r="A1414" s="305">
        <v>81</v>
      </c>
      <c r="B1414" s="485" t="s">
        <v>1744</v>
      </c>
      <c r="C1414" s="476" t="s">
        <v>6072</v>
      </c>
      <c r="D1414" s="464"/>
      <c r="E1414" s="465" t="s">
        <v>2907</v>
      </c>
      <c r="F1414" s="466" t="s">
        <v>2908</v>
      </c>
      <c r="G1414" s="750"/>
      <c r="H1414" s="477">
        <v>45143</v>
      </c>
      <c r="I1414" s="488">
        <f t="shared" si="57"/>
        <v>6088986.4864864862</v>
      </c>
      <c r="J1414" s="488">
        <f t="shared" si="58"/>
        <v>669788.51351351349</v>
      </c>
      <c r="K1414" s="474">
        <f>1752750+1754460+3251565</f>
        <v>6758775</v>
      </c>
      <c r="L1414" s="475"/>
    </row>
    <row r="1415" spans="1:12" x14ac:dyDescent="0.2">
      <c r="A1415" s="305">
        <v>82</v>
      </c>
      <c r="B1415" s="469" t="s">
        <v>1745</v>
      </c>
      <c r="C1415" s="476" t="s">
        <v>6137</v>
      </c>
      <c r="D1415" s="464"/>
      <c r="E1415" s="465" t="s">
        <v>2918</v>
      </c>
      <c r="F1415" s="466" t="s">
        <v>2919</v>
      </c>
      <c r="G1415" s="750"/>
      <c r="H1415" s="477">
        <v>45146</v>
      </c>
      <c r="I1415" s="473">
        <f t="shared" si="57"/>
        <v>2610810.8108108104</v>
      </c>
      <c r="J1415" s="473">
        <f t="shared" si="58"/>
        <v>287189.18918918917</v>
      </c>
      <c r="K1415" s="474">
        <f>1875000+1023000</f>
        <v>2898000</v>
      </c>
      <c r="L1415" s="475"/>
    </row>
    <row r="1416" spans="1:12" x14ac:dyDescent="0.2">
      <c r="A1416" s="305">
        <v>83</v>
      </c>
      <c r="B1416" s="485" t="s">
        <v>1746</v>
      </c>
      <c r="C1416" s="476" t="s">
        <v>6099</v>
      </c>
      <c r="D1416" s="464"/>
      <c r="E1416" s="465" t="s">
        <v>2948</v>
      </c>
      <c r="F1416" s="466" t="s">
        <v>2892</v>
      </c>
      <c r="G1416" s="750"/>
      <c r="H1416" s="477">
        <v>45146</v>
      </c>
      <c r="I1416" s="488">
        <f t="shared" si="57"/>
        <v>33666207.207207203</v>
      </c>
      <c r="J1416" s="488">
        <f t="shared" si="58"/>
        <v>3703282.7927927924</v>
      </c>
      <c r="K1416" s="474">
        <f>3650000+20428686+13290804</f>
        <v>37369490</v>
      </c>
      <c r="L1416" s="475"/>
    </row>
    <row r="1417" spans="1:12" x14ac:dyDescent="0.2">
      <c r="A1417" s="305">
        <v>84</v>
      </c>
      <c r="B1417" s="469" t="s">
        <v>1747</v>
      </c>
      <c r="C1417" s="476" t="s">
        <v>6075</v>
      </c>
      <c r="D1417" s="464"/>
      <c r="E1417" s="471" t="s">
        <v>2885</v>
      </c>
      <c r="F1417" s="471" t="s">
        <v>2886</v>
      </c>
      <c r="G1417" s="750"/>
      <c r="H1417" s="472">
        <v>45146</v>
      </c>
      <c r="I1417" s="473">
        <f t="shared" si="57"/>
        <v>5896369.369369369</v>
      </c>
      <c r="J1417" s="473">
        <f t="shared" si="58"/>
        <v>648600.63063063065</v>
      </c>
      <c r="K1417" s="474">
        <f>890000+914850+4740120</f>
        <v>6544970</v>
      </c>
      <c r="L1417" s="475"/>
    </row>
    <row r="1418" spans="1:12" x14ac:dyDescent="0.2">
      <c r="A1418" s="305">
        <v>85</v>
      </c>
      <c r="B1418" s="485" t="s">
        <v>1748</v>
      </c>
      <c r="C1418" s="476" t="s">
        <v>6063</v>
      </c>
      <c r="D1418" s="464"/>
      <c r="E1418" s="471" t="s">
        <v>3003</v>
      </c>
      <c r="F1418" s="471" t="s">
        <v>3108</v>
      </c>
      <c r="G1418" s="750"/>
      <c r="H1418" s="472">
        <v>45149</v>
      </c>
      <c r="I1418" s="488">
        <f t="shared" si="57"/>
        <v>1505724.3243243243</v>
      </c>
      <c r="J1418" s="488">
        <f t="shared" si="58"/>
        <v>165629.67567567568</v>
      </c>
      <c r="K1418" s="474">
        <v>1671354</v>
      </c>
      <c r="L1418" s="475"/>
    </row>
    <row r="1419" spans="1:12" x14ac:dyDescent="0.2">
      <c r="A1419" s="305">
        <v>86</v>
      </c>
      <c r="B1419" s="469" t="s">
        <v>1749</v>
      </c>
      <c r="C1419" s="476" t="s">
        <v>6084</v>
      </c>
      <c r="D1419" s="464"/>
      <c r="E1419" s="465" t="s">
        <v>3133</v>
      </c>
      <c r="F1419" s="466" t="s">
        <v>2935</v>
      </c>
      <c r="G1419" s="750"/>
      <c r="H1419" s="477">
        <v>45148</v>
      </c>
      <c r="I1419" s="473">
        <f t="shared" si="57"/>
        <v>19144111.711711708</v>
      </c>
      <c r="J1419" s="473">
        <f t="shared" si="58"/>
        <v>2105852.2882882878</v>
      </c>
      <c r="K1419" s="474">
        <f>100000+7446708+13703256</f>
        <v>21249964</v>
      </c>
      <c r="L1419" s="475"/>
    </row>
    <row r="1420" spans="1:12" x14ac:dyDescent="0.2">
      <c r="A1420" s="305">
        <v>87</v>
      </c>
      <c r="B1420" s="485" t="s">
        <v>1750</v>
      </c>
      <c r="C1420" s="476" t="s">
        <v>6121</v>
      </c>
      <c r="D1420" s="464"/>
      <c r="E1420" s="465" t="s">
        <v>3011</v>
      </c>
      <c r="F1420" s="466" t="s">
        <v>2823</v>
      </c>
      <c r="G1420" s="750"/>
      <c r="H1420" s="477">
        <v>45149</v>
      </c>
      <c r="I1420" s="488">
        <f t="shared" si="57"/>
        <v>34898172.972972967</v>
      </c>
      <c r="J1420" s="488">
        <f t="shared" si="58"/>
        <v>3838799.0270270263</v>
      </c>
      <c r="K1420" s="474">
        <f>20387988+18348984</f>
        <v>38736972</v>
      </c>
      <c r="L1420" s="475"/>
    </row>
    <row r="1421" spans="1:12" x14ac:dyDescent="0.2">
      <c r="A1421" s="305">
        <v>88</v>
      </c>
      <c r="B1421" s="469" t="s">
        <v>1751</v>
      </c>
      <c r="C1421" s="476" t="s">
        <v>6081</v>
      </c>
      <c r="D1421" s="464"/>
      <c r="E1421" s="465" t="s">
        <v>2936</v>
      </c>
      <c r="F1421" s="466" t="s">
        <v>2922</v>
      </c>
      <c r="G1421" s="750"/>
      <c r="H1421" s="477">
        <v>45146</v>
      </c>
      <c r="I1421" s="473">
        <f t="shared" si="57"/>
        <v>2563151.351351351</v>
      </c>
      <c r="J1421" s="473">
        <f t="shared" si="58"/>
        <v>281946.64864864864</v>
      </c>
      <c r="K1421" s="474">
        <f>395010+722304+1727784</f>
        <v>2845098</v>
      </c>
      <c r="L1421" s="475"/>
    </row>
    <row r="1422" spans="1:12" x14ac:dyDescent="0.2">
      <c r="A1422" s="305">
        <v>89</v>
      </c>
      <c r="B1422" s="485" t="s">
        <v>1752</v>
      </c>
      <c r="C1422" s="476" t="s">
        <v>6096</v>
      </c>
      <c r="D1422" s="464"/>
      <c r="E1422" s="465" t="s">
        <v>2887</v>
      </c>
      <c r="F1422" s="466" t="s">
        <v>2888</v>
      </c>
      <c r="G1422" s="750"/>
      <c r="H1422" s="477">
        <v>45150</v>
      </c>
      <c r="I1422" s="488">
        <f t="shared" si="57"/>
        <v>10222241.441441441</v>
      </c>
      <c r="J1422" s="488">
        <f t="shared" si="58"/>
        <v>1124446.5585585586</v>
      </c>
      <c r="K1422" s="474">
        <f>5104504+6242184</f>
        <v>11346688</v>
      </c>
      <c r="L1422" s="475"/>
    </row>
    <row r="1423" spans="1:12" x14ac:dyDescent="0.2">
      <c r="A1423" s="305">
        <v>90</v>
      </c>
      <c r="B1423" s="469" t="s">
        <v>1753</v>
      </c>
      <c r="C1423" s="476" t="s">
        <v>6095</v>
      </c>
      <c r="D1423" s="464"/>
      <c r="E1423" s="465" t="s">
        <v>2934</v>
      </c>
      <c r="F1423" s="466" t="s">
        <v>2935</v>
      </c>
      <c r="G1423" s="750"/>
      <c r="H1423" s="477">
        <v>45150</v>
      </c>
      <c r="I1423" s="473">
        <f t="shared" si="57"/>
        <v>7962499.0990990987</v>
      </c>
      <c r="J1423" s="473">
        <f t="shared" si="58"/>
        <v>875874.90090090083</v>
      </c>
      <c r="K1423" s="474">
        <f>4417340+2565000+1856034</f>
        <v>8838374</v>
      </c>
      <c r="L1423" s="475"/>
    </row>
    <row r="1424" spans="1:12" x14ac:dyDescent="0.2">
      <c r="A1424" s="305">
        <v>91</v>
      </c>
      <c r="B1424" s="485" t="s">
        <v>1754</v>
      </c>
      <c r="C1424" s="476" t="s">
        <v>6064</v>
      </c>
      <c r="D1424" s="464"/>
      <c r="E1424" s="465" t="s">
        <v>3461</v>
      </c>
      <c r="F1424" s="466" t="s">
        <v>2890</v>
      </c>
      <c r="G1424" s="750"/>
      <c r="H1424" s="477">
        <v>45150</v>
      </c>
      <c r="I1424" s="488">
        <f t="shared" si="57"/>
        <v>19527368.468468465</v>
      </c>
      <c r="J1424" s="488">
        <f t="shared" si="58"/>
        <v>2148010.5315315314</v>
      </c>
      <c r="K1424" s="474">
        <v>21675379</v>
      </c>
      <c r="L1424" s="475"/>
    </row>
    <row r="1425" spans="1:12" x14ac:dyDescent="0.2">
      <c r="A1425" s="305">
        <v>92</v>
      </c>
      <c r="B1425" s="469" t="s">
        <v>1755</v>
      </c>
      <c r="C1425" s="476" t="s">
        <v>6066</v>
      </c>
      <c r="D1425" s="464"/>
      <c r="E1425" s="465" t="s">
        <v>2891</v>
      </c>
      <c r="F1425" s="466" t="s">
        <v>2873</v>
      </c>
      <c r="G1425" s="750"/>
      <c r="H1425" s="477">
        <v>45157</v>
      </c>
      <c r="I1425" s="473">
        <f t="shared" si="57"/>
        <v>665513.51351351349</v>
      </c>
      <c r="J1425" s="473">
        <f t="shared" si="58"/>
        <v>73206.486486486479</v>
      </c>
      <c r="K1425" s="474">
        <v>738720</v>
      </c>
      <c r="L1425" s="475"/>
    </row>
    <row r="1426" spans="1:12" x14ac:dyDescent="0.2">
      <c r="A1426" s="305">
        <v>93</v>
      </c>
      <c r="B1426" s="485" t="s">
        <v>1756</v>
      </c>
      <c r="C1426" s="476" t="s">
        <v>6068</v>
      </c>
      <c r="D1426" s="464"/>
      <c r="E1426" s="465" t="s">
        <v>2945</v>
      </c>
      <c r="F1426" s="466" t="s">
        <v>2946</v>
      </c>
      <c r="G1426" s="750"/>
      <c r="H1426" s="477">
        <v>45154</v>
      </c>
      <c r="I1426" s="488">
        <f t="shared" si="57"/>
        <v>3041027.0270270268</v>
      </c>
      <c r="J1426" s="488">
        <f t="shared" si="58"/>
        <v>334512.97297297296</v>
      </c>
      <c r="K1426" s="474">
        <v>3375540</v>
      </c>
      <c r="L1426" s="475"/>
    </row>
    <row r="1427" spans="1:12" x14ac:dyDescent="0.2">
      <c r="A1427" s="305">
        <v>94</v>
      </c>
      <c r="B1427" s="469" t="s">
        <v>1757</v>
      </c>
      <c r="C1427" s="476" t="s">
        <v>6164</v>
      </c>
      <c r="D1427" s="464"/>
      <c r="E1427" s="465" t="s">
        <v>3129</v>
      </c>
      <c r="F1427" s="466" t="s">
        <v>3108</v>
      </c>
      <c r="G1427" s="750"/>
      <c r="H1427" s="477">
        <v>45154</v>
      </c>
      <c r="I1427" s="473">
        <f t="shared" si="57"/>
        <v>14416686.486486485</v>
      </c>
      <c r="J1427" s="473">
        <f t="shared" si="58"/>
        <v>1585835.5135135134</v>
      </c>
      <c r="K1427" s="474">
        <f>8356770+5097168+2548584</f>
        <v>16002522</v>
      </c>
      <c r="L1427" s="475"/>
    </row>
    <row r="1428" spans="1:12" x14ac:dyDescent="0.2">
      <c r="A1428" s="305">
        <v>95</v>
      </c>
      <c r="B1428" s="485" t="s">
        <v>1758</v>
      </c>
      <c r="C1428" s="476" t="s">
        <v>6071</v>
      </c>
      <c r="D1428" s="464"/>
      <c r="E1428" s="465" t="s">
        <v>3923</v>
      </c>
      <c r="F1428" s="466" t="s">
        <v>3924</v>
      </c>
      <c r="G1428" s="750"/>
      <c r="H1428" s="477">
        <v>45154</v>
      </c>
      <c r="I1428" s="488">
        <f t="shared" si="57"/>
        <v>4298108.1081081079</v>
      </c>
      <c r="J1428" s="488">
        <f t="shared" si="58"/>
        <v>472791.89189189189</v>
      </c>
      <c r="K1428" s="474">
        <v>4770900</v>
      </c>
      <c r="L1428" s="475"/>
    </row>
    <row r="1429" spans="1:12" x14ac:dyDescent="0.2">
      <c r="A1429" s="305">
        <v>96</v>
      </c>
      <c r="B1429" s="469" t="s">
        <v>1759</v>
      </c>
      <c r="C1429" s="480" t="s">
        <v>6073</v>
      </c>
      <c r="D1429" s="481"/>
      <c r="E1429" s="482" t="s">
        <v>3130</v>
      </c>
      <c r="F1429" s="483" t="s">
        <v>2873</v>
      </c>
      <c r="G1429" s="750"/>
      <c r="H1429" s="484">
        <v>45146</v>
      </c>
      <c r="I1429" s="473">
        <f t="shared" si="57"/>
        <v>1891167.5675675673</v>
      </c>
      <c r="J1429" s="473">
        <f t="shared" si="58"/>
        <v>208028.4324324324</v>
      </c>
      <c r="K1429" s="474">
        <v>2099196</v>
      </c>
      <c r="L1429" s="475"/>
    </row>
    <row r="1430" spans="1:12" x14ac:dyDescent="0.2">
      <c r="A1430" s="305">
        <v>97</v>
      </c>
      <c r="B1430" s="485" t="s">
        <v>1760</v>
      </c>
      <c r="C1430" s="476" t="s">
        <v>6074</v>
      </c>
      <c r="D1430" s="464"/>
      <c r="E1430" s="471" t="s">
        <v>2891</v>
      </c>
      <c r="F1430" s="471" t="s">
        <v>3047</v>
      </c>
      <c r="G1430" s="750"/>
      <c r="H1430" s="477">
        <v>45146</v>
      </c>
      <c r="I1430" s="488">
        <f t="shared" si="57"/>
        <v>1339345.9459459458</v>
      </c>
      <c r="J1430" s="488">
        <f t="shared" si="58"/>
        <v>147328.05405405405</v>
      </c>
      <c r="K1430" s="474">
        <v>1486674</v>
      </c>
      <c r="L1430" s="475"/>
    </row>
    <row r="1431" spans="1:12" x14ac:dyDescent="0.2">
      <c r="A1431" s="305">
        <v>98</v>
      </c>
      <c r="B1431" s="469" t="s">
        <v>1761</v>
      </c>
      <c r="C1431" s="476" t="s">
        <v>6076</v>
      </c>
      <c r="D1431" s="464"/>
      <c r="E1431" s="465" t="s">
        <v>2881</v>
      </c>
      <c r="F1431" s="466" t="s">
        <v>2882</v>
      </c>
      <c r="G1431" s="750"/>
      <c r="H1431" s="477">
        <v>45147</v>
      </c>
      <c r="I1431" s="473">
        <f t="shared" si="57"/>
        <v>1545495.4954954954</v>
      </c>
      <c r="J1431" s="473">
        <f t="shared" si="58"/>
        <v>170004.5045045045</v>
      </c>
      <c r="K1431" s="474">
        <v>1715500</v>
      </c>
      <c r="L1431" s="475"/>
    </row>
    <row r="1432" spans="1:12" x14ac:dyDescent="0.2">
      <c r="A1432" s="305">
        <v>99</v>
      </c>
      <c r="B1432" s="485" t="s">
        <v>1762</v>
      </c>
      <c r="C1432" s="476" t="s">
        <v>6078</v>
      </c>
      <c r="D1432" s="464"/>
      <c r="E1432" s="465" t="s">
        <v>6077</v>
      </c>
      <c r="F1432" s="466" t="s">
        <v>2922</v>
      </c>
      <c r="G1432" s="750"/>
      <c r="H1432" s="477">
        <v>45147</v>
      </c>
      <c r="I1432" s="488">
        <f t="shared" si="57"/>
        <v>356756.75675675675</v>
      </c>
      <c r="J1432" s="488">
        <f t="shared" si="58"/>
        <v>39243.24324324324</v>
      </c>
      <c r="K1432" s="474">
        <v>396000</v>
      </c>
      <c r="L1432" s="475"/>
    </row>
    <row r="1433" spans="1:12" x14ac:dyDescent="0.2">
      <c r="A1433" s="305">
        <v>100</v>
      </c>
      <c r="B1433" s="469" t="s">
        <v>1763</v>
      </c>
      <c r="C1433" s="476" t="s">
        <v>6111</v>
      </c>
      <c r="D1433" s="464"/>
      <c r="E1433" s="465" t="s">
        <v>2893</v>
      </c>
      <c r="F1433" s="466" t="s">
        <v>2890</v>
      </c>
      <c r="G1433" s="750"/>
      <c r="H1433" s="477">
        <v>45147</v>
      </c>
      <c r="I1433" s="473">
        <f t="shared" si="57"/>
        <v>14046956.756756755</v>
      </c>
      <c r="J1433" s="473">
        <f t="shared" si="58"/>
        <v>1545165.2432432431</v>
      </c>
      <c r="K1433" s="474">
        <f>3467880+4875552+7248690</f>
        <v>15592122</v>
      </c>
      <c r="L1433" s="475"/>
    </row>
    <row r="1434" spans="1:12" x14ac:dyDescent="0.2">
      <c r="A1434" s="305">
        <v>101</v>
      </c>
      <c r="B1434" s="485" t="s">
        <v>1764</v>
      </c>
      <c r="C1434" s="476" t="s">
        <v>6097</v>
      </c>
      <c r="D1434" s="464"/>
      <c r="E1434" s="465" t="s">
        <v>2974</v>
      </c>
      <c r="F1434" s="466" t="s">
        <v>2755</v>
      </c>
      <c r="G1434" s="750"/>
      <c r="H1434" s="477">
        <v>45145</v>
      </c>
      <c r="I1434" s="488">
        <f t="shared" si="57"/>
        <v>2602252.2522522518</v>
      </c>
      <c r="J1434" s="488">
        <f t="shared" si="58"/>
        <v>286247.74774774769</v>
      </c>
      <c r="K1434" s="474">
        <f>2492500+396000</f>
        <v>2888500</v>
      </c>
      <c r="L1434" s="475"/>
    </row>
    <row r="1435" spans="1:12" x14ac:dyDescent="0.2">
      <c r="A1435" s="305">
        <v>102</v>
      </c>
      <c r="B1435" s="469" t="s">
        <v>1765</v>
      </c>
      <c r="C1435" s="476" t="s">
        <v>6161</v>
      </c>
      <c r="D1435" s="464"/>
      <c r="E1435" s="465" t="s">
        <v>2993</v>
      </c>
      <c r="F1435" s="466" t="s">
        <v>2994</v>
      </c>
      <c r="G1435" s="750"/>
      <c r="H1435" s="477">
        <v>45147</v>
      </c>
      <c r="I1435" s="473">
        <f t="shared" si="57"/>
        <v>18989410.810810808</v>
      </c>
      <c r="J1435" s="473">
        <f t="shared" si="58"/>
        <v>2088835.1891891889</v>
      </c>
      <c r="K1435" s="474">
        <f>2640000+9497682+8940564</f>
        <v>21078246</v>
      </c>
      <c r="L1435" s="475"/>
    </row>
    <row r="1436" spans="1:12" x14ac:dyDescent="0.2">
      <c r="A1436" s="305">
        <v>103</v>
      </c>
      <c r="B1436" s="485" t="s">
        <v>1766</v>
      </c>
      <c r="C1436" s="476" t="s">
        <v>6152</v>
      </c>
      <c r="D1436" s="464"/>
      <c r="E1436" s="465" t="s">
        <v>4322</v>
      </c>
      <c r="F1436" s="466" t="s">
        <v>3092</v>
      </c>
      <c r="G1436" s="750"/>
      <c r="H1436" s="477">
        <v>45147</v>
      </c>
      <c r="I1436" s="488">
        <f t="shared" si="57"/>
        <v>5797270.2702702694</v>
      </c>
      <c r="J1436" s="488">
        <f t="shared" si="58"/>
        <v>637699.72972972959</v>
      </c>
      <c r="K1436" s="474">
        <f>5055000+184680+1195290</f>
        <v>6434970</v>
      </c>
      <c r="L1436" s="475"/>
    </row>
    <row r="1437" spans="1:12" x14ac:dyDescent="0.2">
      <c r="A1437" s="305">
        <v>104</v>
      </c>
      <c r="B1437" s="469" t="s">
        <v>1767</v>
      </c>
      <c r="C1437" s="476" t="s">
        <v>6079</v>
      </c>
      <c r="D1437" s="464"/>
      <c r="E1437" s="465" t="s">
        <v>3138</v>
      </c>
      <c r="F1437" s="466" t="s">
        <v>3077</v>
      </c>
      <c r="G1437" s="750"/>
      <c r="H1437" s="477">
        <v>45147</v>
      </c>
      <c r="I1437" s="473">
        <f t="shared" si="57"/>
        <v>4758944.1441441439</v>
      </c>
      <c r="J1437" s="473">
        <f t="shared" si="58"/>
        <v>523483.85585585586</v>
      </c>
      <c r="K1437" s="474">
        <v>5282428</v>
      </c>
      <c r="L1437" s="475"/>
    </row>
    <row r="1438" spans="1:12" x14ac:dyDescent="0.2">
      <c r="A1438" s="305">
        <v>105</v>
      </c>
      <c r="B1438" s="485" t="s">
        <v>1768</v>
      </c>
      <c r="C1438" s="476" t="s">
        <v>6162</v>
      </c>
      <c r="D1438" s="464"/>
      <c r="E1438" s="465" t="s">
        <v>2885</v>
      </c>
      <c r="F1438" s="466" t="s">
        <v>2886</v>
      </c>
      <c r="G1438" s="750"/>
      <c r="H1438" s="477">
        <v>45147</v>
      </c>
      <c r="I1438" s="488">
        <f t="shared" si="57"/>
        <v>9022791.8918918911</v>
      </c>
      <c r="J1438" s="488">
        <f t="shared" si="58"/>
        <v>992507.10810810805</v>
      </c>
      <c r="K1438" s="474">
        <f>2252070+4512861+3250368</f>
        <v>10015299</v>
      </c>
      <c r="L1438" s="475"/>
    </row>
    <row r="1439" spans="1:12" x14ac:dyDescent="0.2">
      <c r="A1439" s="305">
        <v>106</v>
      </c>
      <c r="B1439" s="469" t="s">
        <v>1769</v>
      </c>
      <c r="C1439" s="476" t="s">
        <v>6106</v>
      </c>
      <c r="D1439" s="464"/>
      <c r="E1439" s="465" t="s">
        <v>3523</v>
      </c>
      <c r="F1439" s="466" t="s">
        <v>2873</v>
      </c>
      <c r="G1439" s="464"/>
      <c r="H1439" s="477">
        <v>45147</v>
      </c>
      <c r="I1439" s="473">
        <f t="shared" si="57"/>
        <v>1360360.3603603602</v>
      </c>
      <c r="J1439" s="473">
        <f t="shared" si="58"/>
        <v>149639.63963963962</v>
      </c>
      <c r="K1439" s="474">
        <f>1150000+360000</f>
        <v>1510000</v>
      </c>
      <c r="L1439" s="475"/>
    </row>
    <row r="1440" spans="1:12" x14ac:dyDescent="0.2">
      <c r="A1440" s="305">
        <v>107</v>
      </c>
      <c r="B1440" s="485" t="s">
        <v>1770</v>
      </c>
      <c r="C1440" s="480" t="s">
        <v>6105</v>
      </c>
      <c r="D1440" s="481"/>
      <c r="E1440" s="482" t="s">
        <v>2939</v>
      </c>
      <c r="F1440" s="483" t="s">
        <v>2940</v>
      </c>
      <c r="G1440" s="513"/>
      <c r="H1440" s="484">
        <v>45148</v>
      </c>
      <c r="I1440" s="488">
        <f t="shared" si="57"/>
        <v>3495332.4324324322</v>
      </c>
      <c r="J1440" s="488">
        <f t="shared" si="58"/>
        <v>384486.56756756752</v>
      </c>
      <c r="K1440" s="474">
        <f>972648+2907171</f>
        <v>3879819</v>
      </c>
      <c r="L1440" s="475"/>
    </row>
    <row r="1441" spans="1:12" x14ac:dyDescent="0.2">
      <c r="A1441" s="305">
        <v>108</v>
      </c>
      <c r="B1441" s="469" t="s">
        <v>1771</v>
      </c>
      <c r="C1441" s="476" t="s">
        <v>6117</v>
      </c>
      <c r="D1441" s="464"/>
      <c r="E1441" s="471" t="s">
        <v>2907</v>
      </c>
      <c r="F1441" s="471" t="s">
        <v>2908</v>
      </c>
      <c r="G1441" s="464"/>
      <c r="H1441" s="477">
        <v>45148</v>
      </c>
      <c r="I1441" s="473">
        <f t="shared" si="57"/>
        <v>5125121.6216216208</v>
      </c>
      <c r="J1441" s="473">
        <f t="shared" si="58"/>
        <v>563763.37837837834</v>
      </c>
      <c r="K1441" s="474">
        <f>1943952+2805630+939303</f>
        <v>5688885</v>
      </c>
      <c r="L1441" s="475"/>
    </row>
    <row r="1442" spans="1:12" x14ac:dyDescent="0.2">
      <c r="A1442" s="305">
        <v>109</v>
      </c>
      <c r="B1442" s="485" t="s">
        <v>1772</v>
      </c>
      <c r="C1442" s="476" t="s">
        <v>6133</v>
      </c>
      <c r="D1442" s="464"/>
      <c r="E1442" s="465" t="s">
        <v>2907</v>
      </c>
      <c r="F1442" s="466" t="s">
        <v>2926</v>
      </c>
      <c r="G1442" s="464"/>
      <c r="H1442" s="477">
        <v>45148</v>
      </c>
      <c r="I1442" s="488">
        <f t="shared" si="57"/>
        <v>9830189.1891891882</v>
      </c>
      <c r="J1442" s="488">
        <f t="shared" si="58"/>
        <v>1081320.8108108107</v>
      </c>
      <c r="K1442" s="474">
        <f>4104000+2942568+3864942</f>
        <v>10911510</v>
      </c>
      <c r="L1442" s="475"/>
    </row>
    <row r="1443" spans="1:12" x14ac:dyDescent="0.2">
      <c r="A1443" s="305">
        <v>110</v>
      </c>
      <c r="B1443" s="469" t="s">
        <v>1773</v>
      </c>
      <c r="C1443" s="476" t="s">
        <v>6118</v>
      </c>
      <c r="D1443" s="464"/>
      <c r="E1443" s="465" t="s">
        <v>2894</v>
      </c>
      <c r="F1443" s="466" t="s">
        <v>2851</v>
      </c>
      <c r="G1443" s="464"/>
      <c r="H1443" s="477">
        <v>45150</v>
      </c>
      <c r="I1443" s="473">
        <f t="shared" si="57"/>
        <v>18705891.891891889</v>
      </c>
      <c r="J1443" s="473">
        <f t="shared" si="58"/>
        <v>2057648.1081081079</v>
      </c>
      <c r="K1443" s="474">
        <f>4050000+16713540</f>
        <v>20763540</v>
      </c>
      <c r="L1443" s="475"/>
    </row>
    <row r="1444" spans="1:12" x14ac:dyDescent="0.2">
      <c r="A1444" s="305">
        <v>111</v>
      </c>
      <c r="B1444" s="485" t="s">
        <v>1774</v>
      </c>
      <c r="C1444" s="476" t="s">
        <v>6143</v>
      </c>
      <c r="D1444" s="464"/>
      <c r="E1444" s="465" t="s">
        <v>5041</v>
      </c>
      <c r="F1444" s="466" t="s">
        <v>2828</v>
      </c>
      <c r="G1444" s="464"/>
      <c r="H1444" s="477">
        <v>45152</v>
      </c>
      <c r="I1444" s="488">
        <f t="shared" si="57"/>
        <v>20864736.936936934</v>
      </c>
      <c r="J1444" s="488">
        <f t="shared" si="58"/>
        <v>2295121.0630630627</v>
      </c>
      <c r="K1444" s="474">
        <f>10946354+12213504</f>
        <v>23159858</v>
      </c>
      <c r="L1444" s="475"/>
    </row>
    <row r="1445" spans="1:12" x14ac:dyDescent="0.2">
      <c r="A1445" s="305">
        <v>112</v>
      </c>
      <c r="B1445" s="469" t="s">
        <v>1775</v>
      </c>
      <c r="C1445" s="476" t="s">
        <v>6087</v>
      </c>
      <c r="D1445" s="464"/>
      <c r="E1445" s="465" t="s">
        <v>2995</v>
      </c>
      <c r="F1445" s="466" t="s">
        <v>2858</v>
      </c>
      <c r="G1445" s="464"/>
      <c r="H1445" s="477">
        <v>45148</v>
      </c>
      <c r="I1445" s="473">
        <f t="shared" si="57"/>
        <v>477567.56756756752</v>
      </c>
      <c r="J1445" s="473">
        <f t="shared" si="58"/>
        <v>52532.432432432426</v>
      </c>
      <c r="K1445" s="474">
        <v>530100</v>
      </c>
      <c r="L1445" s="475"/>
    </row>
    <row r="1446" spans="1:12" x14ac:dyDescent="0.2">
      <c r="A1446" s="305">
        <v>113</v>
      </c>
      <c r="B1446" s="485" t="s">
        <v>1776</v>
      </c>
      <c r="C1446" s="476" t="s">
        <v>6089</v>
      </c>
      <c r="D1446" s="464"/>
      <c r="E1446" s="465" t="s">
        <v>3032</v>
      </c>
      <c r="F1446" s="466" t="s">
        <v>3033</v>
      </c>
      <c r="G1446" s="464"/>
      <c r="H1446" s="477">
        <v>45153</v>
      </c>
      <c r="I1446" s="488">
        <f t="shared" si="57"/>
        <v>610054.05405405397</v>
      </c>
      <c r="J1446" s="488">
        <f t="shared" si="58"/>
        <v>67105.945945945932</v>
      </c>
      <c r="K1446" s="474">
        <v>677160</v>
      </c>
      <c r="L1446" s="475"/>
    </row>
    <row r="1447" spans="1:12" x14ac:dyDescent="0.2">
      <c r="A1447" s="305">
        <v>114</v>
      </c>
      <c r="B1447" s="469" t="s">
        <v>1777</v>
      </c>
      <c r="C1447" s="476" t="s">
        <v>6090</v>
      </c>
      <c r="D1447" s="464"/>
      <c r="E1447" s="465" t="s">
        <v>4026</v>
      </c>
      <c r="F1447" s="466" t="s">
        <v>3033</v>
      </c>
      <c r="G1447" s="464"/>
      <c r="H1447" s="477">
        <v>45153</v>
      </c>
      <c r="I1447" s="473">
        <f t="shared" si="57"/>
        <v>348932.43243243243</v>
      </c>
      <c r="J1447" s="473">
        <f t="shared" si="58"/>
        <v>38382.567567567567</v>
      </c>
      <c r="K1447" s="474">
        <v>387315</v>
      </c>
      <c r="L1447" s="475"/>
    </row>
    <row r="1448" spans="1:12" x14ac:dyDescent="0.2">
      <c r="A1448" s="305">
        <v>115</v>
      </c>
      <c r="B1448" s="485" t="s">
        <v>1778</v>
      </c>
      <c r="C1448" s="476" t="s">
        <v>6107</v>
      </c>
      <c r="D1448" s="464"/>
      <c r="E1448" s="465" t="s">
        <v>3030</v>
      </c>
      <c r="F1448" s="466" t="s">
        <v>2892</v>
      </c>
      <c r="G1448" s="464"/>
      <c r="H1448" s="477">
        <v>45157</v>
      </c>
      <c r="I1448" s="488">
        <f t="shared" si="57"/>
        <v>8477440.5405405406</v>
      </c>
      <c r="J1448" s="488">
        <f t="shared" si="58"/>
        <v>932518.45945945953</v>
      </c>
      <c r="K1448" s="474">
        <f>4801680+2401866+2206413</f>
        <v>9409959</v>
      </c>
      <c r="L1448" s="475"/>
    </row>
    <row r="1449" spans="1:12" x14ac:dyDescent="0.2">
      <c r="A1449" s="305">
        <v>116</v>
      </c>
      <c r="B1449" s="469" t="s">
        <v>1779</v>
      </c>
      <c r="C1449" s="476" t="s">
        <v>6092</v>
      </c>
      <c r="D1449" s="464"/>
      <c r="E1449" s="465" t="s">
        <v>3080</v>
      </c>
      <c r="F1449" s="466" t="s">
        <v>2982</v>
      </c>
      <c r="G1449" s="464"/>
      <c r="H1449" s="477">
        <v>45154</v>
      </c>
      <c r="I1449" s="473">
        <f t="shared" si="57"/>
        <v>735135.13513513503</v>
      </c>
      <c r="J1449" s="473">
        <f t="shared" si="58"/>
        <v>80864.864864864852</v>
      </c>
      <c r="K1449" s="474">
        <v>816000</v>
      </c>
      <c r="L1449" s="475"/>
    </row>
    <row r="1450" spans="1:12" x14ac:dyDescent="0.2">
      <c r="A1450" s="305">
        <v>117</v>
      </c>
      <c r="B1450" s="485" t="s">
        <v>1780</v>
      </c>
      <c r="C1450" s="476" t="s">
        <v>6093</v>
      </c>
      <c r="D1450" s="464"/>
      <c r="E1450" s="465" t="s">
        <v>5606</v>
      </c>
      <c r="F1450" s="466" t="s">
        <v>3092</v>
      </c>
      <c r="G1450" s="464"/>
      <c r="H1450" s="477">
        <v>45156</v>
      </c>
      <c r="I1450" s="488">
        <f t="shared" si="57"/>
        <v>1640654.9549549548</v>
      </c>
      <c r="J1450" s="488">
        <f t="shared" si="58"/>
        <v>180472.04504504503</v>
      </c>
      <c r="K1450" s="474">
        <v>1821127</v>
      </c>
      <c r="L1450" s="475"/>
    </row>
    <row r="1451" spans="1:12" x14ac:dyDescent="0.2">
      <c r="A1451" s="305">
        <v>118</v>
      </c>
      <c r="B1451" s="469" t="s">
        <v>1781</v>
      </c>
      <c r="C1451" s="480" t="s">
        <v>6196</v>
      </c>
      <c r="D1451" s="481"/>
      <c r="E1451" s="482" t="s">
        <v>3151</v>
      </c>
      <c r="F1451" s="483" t="s">
        <v>2994</v>
      </c>
      <c r="G1451" s="513"/>
      <c r="H1451" s="484">
        <v>45156</v>
      </c>
      <c r="I1451" s="473">
        <f t="shared" si="57"/>
        <v>12844410.81081081</v>
      </c>
      <c r="J1451" s="473">
        <f t="shared" si="58"/>
        <v>1412885.1891891891</v>
      </c>
      <c r="K1451" s="474">
        <f>9603360+1551312+3102624</f>
        <v>14257296</v>
      </c>
      <c r="L1451" s="475"/>
    </row>
    <row r="1452" spans="1:12" x14ac:dyDescent="0.2">
      <c r="A1452" s="305">
        <v>119</v>
      </c>
      <c r="B1452" s="485" t="s">
        <v>1782</v>
      </c>
      <c r="C1452" s="476" t="s">
        <v>6147</v>
      </c>
      <c r="D1452" s="464"/>
      <c r="E1452" s="471" t="s">
        <v>2907</v>
      </c>
      <c r="F1452" s="471" t="s">
        <v>2792</v>
      </c>
      <c r="G1452" s="464"/>
      <c r="H1452" s="477">
        <v>45156</v>
      </c>
      <c r="I1452" s="488">
        <f t="shared" si="57"/>
        <v>2765578.3783783782</v>
      </c>
      <c r="J1452" s="488">
        <f t="shared" si="58"/>
        <v>304213.6216216216</v>
      </c>
      <c r="K1452" s="474">
        <f>1305072+779760+984960</f>
        <v>3069792</v>
      </c>
      <c r="L1452" s="475"/>
    </row>
    <row r="1453" spans="1:12" x14ac:dyDescent="0.2">
      <c r="A1453" s="305">
        <v>120</v>
      </c>
      <c r="B1453" s="469" t="s">
        <v>1783</v>
      </c>
      <c r="C1453" s="476" t="s">
        <v>6094</v>
      </c>
      <c r="D1453" s="464"/>
      <c r="E1453" s="465" t="s">
        <v>2911</v>
      </c>
      <c r="F1453" s="466" t="s">
        <v>2912</v>
      </c>
      <c r="G1453" s="464"/>
      <c r="H1453" s="477">
        <v>45156</v>
      </c>
      <c r="I1453" s="473">
        <f t="shared" si="57"/>
        <v>808783.78378378367</v>
      </c>
      <c r="J1453" s="473">
        <f t="shared" si="58"/>
        <v>88966.216216216199</v>
      </c>
      <c r="K1453" s="474">
        <v>897750</v>
      </c>
      <c r="L1453" s="475"/>
    </row>
    <row r="1454" spans="1:12" x14ac:dyDescent="0.2">
      <c r="A1454" s="305">
        <v>122</v>
      </c>
      <c r="B1454" s="469" t="s">
        <v>1784</v>
      </c>
      <c r="C1454" s="476" t="s">
        <v>6132</v>
      </c>
      <c r="D1454" s="464"/>
      <c r="E1454" s="465" t="s">
        <v>3085</v>
      </c>
      <c r="F1454" s="466" t="s">
        <v>2982</v>
      </c>
      <c r="G1454" s="464"/>
      <c r="H1454" s="477">
        <v>45159</v>
      </c>
      <c r="I1454" s="473">
        <f t="shared" si="57"/>
        <v>13768272.972972972</v>
      </c>
      <c r="J1454" s="473">
        <f t="shared" si="58"/>
        <v>1514510.027027027</v>
      </c>
      <c r="K1454" s="474">
        <f>1671354+4360500+9250929</f>
        <v>15282783</v>
      </c>
      <c r="L1454" s="475"/>
    </row>
    <row r="1455" spans="1:12" x14ac:dyDescent="0.2">
      <c r="A1455" s="305">
        <v>123</v>
      </c>
      <c r="B1455" s="485" t="s">
        <v>1785</v>
      </c>
      <c r="C1455" s="476" t="s">
        <v>6098</v>
      </c>
      <c r="D1455" s="464"/>
      <c r="E1455" s="465" t="s">
        <v>3051</v>
      </c>
      <c r="F1455" s="466" t="s">
        <v>2912</v>
      </c>
      <c r="G1455" s="464"/>
      <c r="H1455" s="477">
        <v>45159</v>
      </c>
      <c r="I1455" s="488">
        <f t="shared" si="57"/>
        <v>265315.31531531527</v>
      </c>
      <c r="J1455" s="488">
        <f t="shared" si="58"/>
        <v>29184.684684684678</v>
      </c>
      <c r="K1455" s="474">
        <v>294500</v>
      </c>
      <c r="L1455" s="475"/>
    </row>
    <row r="1456" spans="1:12" x14ac:dyDescent="0.2">
      <c r="A1456" s="305">
        <v>124</v>
      </c>
      <c r="B1456" s="469" t="s">
        <v>1786</v>
      </c>
      <c r="C1456" s="476" t="s">
        <v>6100</v>
      </c>
      <c r="D1456" s="464"/>
      <c r="E1456" s="465" t="s">
        <v>2906</v>
      </c>
      <c r="F1456" s="466" t="s">
        <v>2892</v>
      </c>
      <c r="G1456" s="464"/>
      <c r="H1456" s="477">
        <v>45160</v>
      </c>
      <c r="I1456" s="473">
        <f t="shared" si="57"/>
        <v>18809260.360360358</v>
      </c>
      <c r="J1456" s="473">
        <f t="shared" si="58"/>
        <v>2069018.6396396393</v>
      </c>
      <c r="K1456" s="474">
        <v>20878279</v>
      </c>
      <c r="L1456" s="475"/>
    </row>
    <row r="1457" spans="1:12" x14ac:dyDescent="0.2">
      <c r="A1457" s="305">
        <v>125</v>
      </c>
      <c r="B1457" s="485" t="s">
        <v>1787</v>
      </c>
      <c r="C1457" s="476" t="s">
        <v>6101</v>
      </c>
      <c r="D1457" s="464"/>
      <c r="E1457" s="465" t="s">
        <v>3146</v>
      </c>
      <c r="F1457" s="466" t="s">
        <v>3147</v>
      </c>
      <c r="G1457" s="464"/>
      <c r="H1457" s="477">
        <v>45160</v>
      </c>
      <c r="I1457" s="488">
        <f t="shared" si="57"/>
        <v>5520429.7297297297</v>
      </c>
      <c r="J1457" s="488">
        <f t="shared" si="58"/>
        <v>607247.2702702703</v>
      </c>
      <c r="K1457" s="474">
        <f>162000+4215663+1750014</f>
        <v>6127677</v>
      </c>
      <c r="L1457" s="475"/>
    </row>
    <row r="1458" spans="1:12" x14ac:dyDescent="0.2">
      <c r="A1458" s="305">
        <v>126</v>
      </c>
      <c r="B1458" s="469" t="s">
        <v>1788</v>
      </c>
      <c r="C1458" s="476" t="s">
        <v>6102</v>
      </c>
      <c r="D1458" s="464"/>
      <c r="E1458" s="465" t="s">
        <v>3517</v>
      </c>
      <c r="F1458" s="466" t="s">
        <v>2912</v>
      </c>
      <c r="G1458" s="464"/>
      <c r="H1458" s="477">
        <v>45160</v>
      </c>
      <c r="I1458" s="473">
        <f t="shared" si="57"/>
        <v>882882.88288288284</v>
      </c>
      <c r="J1458" s="473">
        <f t="shared" si="58"/>
        <v>97117.117117117115</v>
      </c>
      <c r="K1458" s="474">
        <v>980000</v>
      </c>
      <c r="L1458" s="475"/>
    </row>
    <row r="1459" spans="1:12" x14ac:dyDescent="0.2">
      <c r="A1459" s="305">
        <v>127</v>
      </c>
      <c r="B1459" s="485" t="s">
        <v>1789</v>
      </c>
      <c r="C1459" s="476" t="s">
        <v>6103</v>
      </c>
      <c r="D1459" s="464"/>
      <c r="E1459" s="465" t="s">
        <v>4651</v>
      </c>
      <c r="F1459" s="466" t="s">
        <v>2922</v>
      </c>
      <c r="G1459" s="464"/>
      <c r="H1459" s="477">
        <v>45160</v>
      </c>
      <c r="I1459" s="488">
        <f t="shared" si="57"/>
        <v>1576589.1891891891</v>
      </c>
      <c r="J1459" s="488">
        <f t="shared" si="58"/>
        <v>173424.8108108108</v>
      </c>
      <c r="K1459" s="474">
        <v>1750014</v>
      </c>
      <c r="L1459" s="475"/>
    </row>
    <row r="1460" spans="1:12" x14ac:dyDescent="0.2">
      <c r="A1460" s="305">
        <v>128</v>
      </c>
      <c r="B1460" s="469" t="s">
        <v>1790</v>
      </c>
      <c r="C1460" s="476" t="s">
        <v>6108</v>
      </c>
      <c r="D1460" s="464"/>
      <c r="E1460" s="465" t="s">
        <v>2914</v>
      </c>
      <c r="F1460" s="466" t="s">
        <v>2915</v>
      </c>
      <c r="G1460" s="464"/>
      <c r="H1460" s="477">
        <v>45161</v>
      </c>
      <c r="I1460" s="473">
        <f t="shared" si="57"/>
        <v>1460124.3243243243</v>
      </c>
      <c r="J1460" s="473">
        <f t="shared" si="58"/>
        <v>160613.67567567568</v>
      </c>
      <c r="K1460" s="474">
        <f>79686+1541052</f>
        <v>1620738</v>
      </c>
      <c r="L1460" s="475"/>
    </row>
    <row r="1461" spans="1:12" x14ac:dyDescent="0.2">
      <c r="A1461" s="305">
        <v>129</v>
      </c>
      <c r="B1461" s="485" t="s">
        <v>1791</v>
      </c>
      <c r="C1461" s="480" t="s">
        <v>6104</v>
      </c>
      <c r="D1461" s="481"/>
      <c r="E1461" s="482" t="s">
        <v>3581</v>
      </c>
      <c r="F1461" s="483" t="s">
        <v>2944</v>
      </c>
      <c r="G1461" s="513"/>
      <c r="H1461" s="484">
        <v>45162</v>
      </c>
      <c r="I1461" s="488">
        <f t="shared" si="57"/>
        <v>1864054.054054054</v>
      </c>
      <c r="J1461" s="488">
        <f t="shared" si="58"/>
        <v>205045.94594594595</v>
      </c>
      <c r="K1461" s="474">
        <v>2069100</v>
      </c>
      <c r="L1461" s="475"/>
    </row>
    <row r="1462" spans="1:12" x14ac:dyDescent="0.2">
      <c r="A1462" s="305">
        <v>130</v>
      </c>
      <c r="B1462" s="469" t="s">
        <v>1792</v>
      </c>
      <c r="C1462" s="476" t="s">
        <v>6109</v>
      </c>
      <c r="D1462" s="464"/>
      <c r="E1462" s="471" t="s">
        <v>2913</v>
      </c>
      <c r="F1462" s="471" t="s">
        <v>2879</v>
      </c>
      <c r="G1462" s="464"/>
      <c r="H1462" s="477">
        <v>45161</v>
      </c>
      <c r="I1462" s="473">
        <f t="shared" si="57"/>
        <v>5815848.6486486485</v>
      </c>
      <c r="J1462" s="473">
        <f t="shared" si="58"/>
        <v>639743.35135135136</v>
      </c>
      <c r="K1462" s="474">
        <f>1247616+5207976</f>
        <v>6455592</v>
      </c>
      <c r="L1462" s="475"/>
    </row>
    <row r="1463" spans="1:12" x14ac:dyDescent="0.2">
      <c r="A1463" s="305">
        <v>131</v>
      </c>
      <c r="B1463" s="485" t="s">
        <v>1793</v>
      </c>
      <c r="C1463" s="476" t="s">
        <v>6153</v>
      </c>
      <c r="D1463" s="464"/>
      <c r="E1463" s="465" t="s">
        <v>2929</v>
      </c>
      <c r="F1463" s="466" t="s">
        <v>2886</v>
      </c>
      <c r="G1463" s="464"/>
      <c r="H1463" s="477">
        <v>45163</v>
      </c>
      <c r="I1463" s="488">
        <f t="shared" ref="I1463:I1516" si="59">K1463/1.11</f>
        <v>5833957.6576576568</v>
      </c>
      <c r="J1463" s="488">
        <f t="shared" ref="J1463:J1516" si="60">I1463*11%</f>
        <v>641735.34234234225</v>
      </c>
      <c r="K1463" s="474">
        <f>1841841+1859198+2774654</f>
        <v>6475693</v>
      </c>
      <c r="L1463" s="475"/>
    </row>
    <row r="1464" spans="1:12" x14ac:dyDescent="0.2">
      <c r="A1464" s="305">
        <v>132</v>
      </c>
      <c r="B1464" s="469" t="s">
        <v>1794</v>
      </c>
      <c r="C1464" s="476" t="s">
        <v>6110</v>
      </c>
      <c r="D1464" s="464"/>
      <c r="E1464" s="465" t="s">
        <v>3536</v>
      </c>
      <c r="F1464" s="466" t="s">
        <v>2877</v>
      </c>
      <c r="G1464" s="464"/>
      <c r="H1464" s="477">
        <v>45164</v>
      </c>
      <c r="I1464" s="473">
        <f t="shared" si="59"/>
        <v>4517172.9729729723</v>
      </c>
      <c r="J1464" s="473">
        <f t="shared" si="60"/>
        <v>496889.02702702698</v>
      </c>
      <c r="K1464" s="474">
        <v>5014062</v>
      </c>
      <c r="L1464" s="475"/>
    </row>
    <row r="1465" spans="1:12" x14ac:dyDescent="0.2">
      <c r="A1465" s="305">
        <v>133</v>
      </c>
      <c r="B1465" s="485" t="s">
        <v>1795</v>
      </c>
      <c r="C1465" s="476" t="s">
        <v>6163</v>
      </c>
      <c r="D1465" s="464"/>
      <c r="E1465" s="465" t="s">
        <v>3133</v>
      </c>
      <c r="F1465" s="466" t="s">
        <v>2935</v>
      </c>
      <c r="G1465" s="464"/>
      <c r="H1465" s="477">
        <v>45159</v>
      </c>
      <c r="I1465" s="488">
        <f t="shared" si="59"/>
        <v>6122724.3243243238</v>
      </c>
      <c r="J1465" s="488">
        <f t="shared" si="60"/>
        <v>673499.67567567562</v>
      </c>
      <c r="K1465" s="474">
        <f>1699056+2548584+2548584</f>
        <v>6796224</v>
      </c>
      <c r="L1465" s="475"/>
    </row>
    <row r="1466" spans="1:12" x14ac:dyDescent="0.2">
      <c r="A1466" s="305">
        <v>134</v>
      </c>
      <c r="B1466" s="469" t="s">
        <v>1796</v>
      </c>
      <c r="C1466" s="476" t="s">
        <v>6113</v>
      </c>
      <c r="D1466" s="464"/>
      <c r="E1466" s="465" t="s">
        <v>2878</v>
      </c>
      <c r="F1466" s="466" t="s">
        <v>2879</v>
      </c>
      <c r="G1466" s="464"/>
      <c r="H1466" s="477">
        <v>45164</v>
      </c>
      <c r="I1466" s="473">
        <f t="shared" si="59"/>
        <v>2296021.6216216213</v>
      </c>
      <c r="J1466" s="473">
        <f t="shared" si="60"/>
        <v>252562.37837837834</v>
      </c>
      <c r="K1466" s="474">
        <v>2548584</v>
      </c>
      <c r="L1466" s="475"/>
    </row>
    <row r="1467" spans="1:12" x14ac:dyDescent="0.2">
      <c r="A1467" s="305">
        <v>135</v>
      </c>
      <c r="B1467" s="485" t="s">
        <v>1797</v>
      </c>
      <c r="C1467" s="476" t="s">
        <v>6116</v>
      </c>
      <c r="D1467" s="464"/>
      <c r="E1467" s="465" t="s">
        <v>2970</v>
      </c>
      <c r="F1467" s="466" t="s">
        <v>2946</v>
      </c>
      <c r="G1467" s="464"/>
      <c r="H1467" s="477">
        <v>45166</v>
      </c>
      <c r="I1467" s="488">
        <f t="shared" si="59"/>
        <v>109070.27027027027</v>
      </c>
      <c r="J1467" s="488">
        <f t="shared" si="60"/>
        <v>11997.72972972973</v>
      </c>
      <c r="K1467" s="474">
        <v>121068</v>
      </c>
      <c r="L1467" s="475"/>
    </row>
    <row r="1468" spans="1:12" x14ac:dyDescent="0.2">
      <c r="A1468" s="305">
        <v>136</v>
      </c>
      <c r="B1468" s="469" t="s">
        <v>1798</v>
      </c>
      <c r="C1468" s="476" t="s">
        <v>6123</v>
      </c>
      <c r="D1468" s="464"/>
      <c r="E1468" s="465" t="s">
        <v>2898</v>
      </c>
      <c r="F1468" s="466" t="s">
        <v>2823</v>
      </c>
      <c r="G1468" s="464"/>
      <c r="H1468" s="477">
        <v>45152</v>
      </c>
      <c r="I1468" s="473">
        <f t="shared" si="59"/>
        <v>24603664.864864863</v>
      </c>
      <c r="J1468" s="473">
        <f t="shared" si="60"/>
        <v>2706403.1351351351</v>
      </c>
      <c r="K1468" s="474">
        <f>2216160+21076605+4017303</f>
        <v>27310068</v>
      </c>
      <c r="L1468" s="475"/>
    </row>
    <row r="1469" spans="1:12" x14ac:dyDescent="0.2">
      <c r="A1469" s="305">
        <v>137</v>
      </c>
      <c r="B1469" s="485" t="s">
        <v>1799</v>
      </c>
      <c r="C1469" s="476" t="s">
        <v>6180</v>
      </c>
      <c r="D1469" s="464"/>
      <c r="E1469" s="465" t="s">
        <v>2937</v>
      </c>
      <c r="F1469" s="466" t="s">
        <v>2823</v>
      </c>
      <c r="G1469" s="464"/>
      <c r="H1469" s="477">
        <v>45154</v>
      </c>
      <c r="I1469" s="488">
        <f t="shared" si="59"/>
        <v>10480913.513513513</v>
      </c>
      <c r="J1469" s="488">
        <f t="shared" si="60"/>
        <v>1152900.4864864864</v>
      </c>
      <c r="K1469" s="474">
        <f>1641600+4304070+5688144</f>
        <v>11633814</v>
      </c>
      <c r="L1469" s="475"/>
    </row>
    <row r="1470" spans="1:12" x14ac:dyDescent="0.2">
      <c r="A1470" s="305">
        <v>138</v>
      </c>
      <c r="B1470" s="469" t="s">
        <v>1800</v>
      </c>
      <c r="C1470" s="476" t="s">
        <v>6185</v>
      </c>
      <c r="D1470" s="464"/>
      <c r="E1470" s="465" t="s">
        <v>2900</v>
      </c>
      <c r="F1470" s="466" t="s">
        <v>2823</v>
      </c>
      <c r="G1470" s="464"/>
      <c r="H1470" s="477">
        <v>45154</v>
      </c>
      <c r="I1470" s="473">
        <f t="shared" si="59"/>
        <v>25871991.891891889</v>
      </c>
      <c r="J1470" s="473">
        <f t="shared" si="60"/>
        <v>2845919.1081081079</v>
      </c>
      <c r="K1470" s="474">
        <f>14312871+8199792+6205248</f>
        <v>28717911</v>
      </c>
      <c r="L1470" s="475"/>
    </row>
    <row r="1471" spans="1:12" x14ac:dyDescent="0.2">
      <c r="A1471" s="305">
        <v>139</v>
      </c>
      <c r="B1471" s="485" t="s">
        <v>1801</v>
      </c>
      <c r="C1471" s="476" t="s">
        <v>6127</v>
      </c>
      <c r="D1471" s="464"/>
      <c r="E1471" s="465" t="s">
        <v>2995</v>
      </c>
      <c r="F1471" s="466" t="s">
        <v>2940</v>
      </c>
      <c r="G1471" s="464"/>
      <c r="H1471" s="477">
        <v>45145</v>
      </c>
      <c r="I1471" s="488">
        <f t="shared" si="59"/>
        <v>2894290.9909909908</v>
      </c>
      <c r="J1471" s="488">
        <f t="shared" si="60"/>
        <v>318372.00900900899</v>
      </c>
      <c r="K1471" s="474">
        <v>3212663</v>
      </c>
      <c r="L1471" s="475"/>
    </row>
    <row r="1472" spans="1:12" x14ac:dyDescent="0.2">
      <c r="A1472" s="305">
        <v>140</v>
      </c>
      <c r="B1472" s="469" t="s">
        <v>1802</v>
      </c>
      <c r="C1472" s="480" t="s">
        <v>6128</v>
      </c>
      <c r="D1472" s="481"/>
      <c r="E1472" s="482" t="s">
        <v>2962</v>
      </c>
      <c r="F1472" s="483" t="s">
        <v>2908</v>
      </c>
      <c r="G1472" s="513"/>
      <c r="H1472" s="484">
        <v>45147</v>
      </c>
      <c r="I1472" s="473">
        <f t="shared" si="59"/>
        <v>270364.86486486485</v>
      </c>
      <c r="J1472" s="473">
        <f t="shared" si="60"/>
        <v>29740.135135135133</v>
      </c>
      <c r="K1472" s="474">
        <v>300105</v>
      </c>
      <c r="L1472" s="475"/>
    </row>
    <row r="1473" spans="1:12" x14ac:dyDescent="0.2">
      <c r="A1473" s="305">
        <v>141</v>
      </c>
      <c r="B1473" s="485" t="s">
        <v>1803</v>
      </c>
      <c r="C1473" s="476" t="s">
        <v>6200</v>
      </c>
      <c r="D1473" s="464"/>
      <c r="E1473" s="465" t="s">
        <v>2895</v>
      </c>
      <c r="F1473" s="466" t="s">
        <v>2890</v>
      </c>
      <c r="G1473" s="464"/>
      <c r="H1473" s="477">
        <v>45148</v>
      </c>
      <c r="I1473" s="488">
        <f t="shared" si="59"/>
        <v>6756810.81081081</v>
      </c>
      <c r="J1473" s="488">
        <f t="shared" si="60"/>
        <v>743249.18918918911</v>
      </c>
      <c r="K1473" s="474">
        <f>4175820+3324240</f>
        <v>7500060</v>
      </c>
      <c r="L1473" s="475"/>
    </row>
    <row r="1474" spans="1:12" x14ac:dyDescent="0.2">
      <c r="A1474" s="305">
        <v>142</v>
      </c>
      <c r="B1474" s="469" t="s">
        <v>1804</v>
      </c>
      <c r="C1474" s="476" t="s">
        <v>6129</v>
      </c>
      <c r="D1474" s="464"/>
      <c r="E1474" s="465" t="s">
        <v>3003</v>
      </c>
      <c r="F1474" s="466" t="s">
        <v>2953</v>
      </c>
      <c r="G1474" s="464"/>
      <c r="H1474" s="477">
        <v>45148</v>
      </c>
      <c r="I1474" s="473">
        <f t="shared" si="59"/>
        <v>1118918.9189189188</v>
      </c>
      <c r="J1474" s="473">
        <f t="shared" si="60"/>
        <v>123081.08108108107</v>
      </c>
      <c r="K1474" s="474">
        <v>1242000</v>
      </c>
      <c r="L1474" s="475"/>
    </row>
    <row r="1475" spans="1:12" x14ac:dyDescent="0.2">
      <c r="A1475" s="305">
        <v>143</v>
      </c>
      <c r="B1475" s="485" t="s">
        <v>1805</v>
      </c>
      <c r="C1475" s="476" t="s">
        <v>6160</v>
      </c>
      <c r="D1475" s="464"/>
      <c r="E1475" s="465" t="s">
        <v>2893</v>
      </c>
      <c r="F1475" s="466" t="s">
        <v>2890</v>
      </c>
      <c r="G1475" s="464"/>
      <c r="H1475" s="477">
        <v>45149</v>
      </c>
      <c r="I1475" s="488">
        <f t="shared" si="59"/>
        <v>5168821.6216216208</v>
      </c>
      <c r="J1475" s="488">
        <f t="shared" si="60"/>
        <v>568570.37837837834</v>
      </c>
      <c r="K1475" s="474">
        <f>2523960+3213432</f>
        <v>5737392</v>
      </c>
      <c r="L1475" s="475"/>
    </row>
    <row r="1476" spans="1:12" x14ac:dyDescent="0.2">
      <c r="A1476" s="305">
        <v>144</v>
      </c>
      <c r="B1476" s="469" t="s">
        <v>1806</v>
      </c>
      <c r="C1476" s="476" t="s">
        <v>6130</v>
      </c>
      <c r="D1476" s="464"/>
      <c r="E1476" s="465" t="s">
        <v>4584</v>
      </c>
      <c r="F1476" s="466" t="s">
        <v>2808</v>
      </c>
      <c r="G1476" s="464"/>
      <c r="H1476" s="477">
        <v>45149</v>
      </c>
      <c r="I1476" s="473">
        <f t="shared" si="59"/>
        <v>165916.21621621621</v>
      </c>
      <c r="J1476" s="473">
        <f t="shared" si="60"/>
        <v>18250.783783783783</v>
      </c>
      <c r="K1476" s="474">
        <v>184167</v>
      </c>
      <c r="L1476" s="475"/>
    </row>
    <row r="1477" spans="1:12" x14ac:dyDescent="0.2">
      <c r="A1477" s="305">
        <v>145</v>
      </c>
      <c r="B1477" s="485" t="s">
        <v>1807</v>
      </c>
      <c r="C1477" s="480" t="s">
        <v>6131</v>
      </c>
      <c r="D1477" s="481"/>
      <c r="E1477" s="482" t="s">
        <v>5610</v>
      </c>
      <c r="F1477" s="483" t="s">
        <v>2946</v>
      </c>
      <c r="G1477" s="513"/>
      <c r="H1477" s="484">
        <v>45152</v>
      </c>
      <c r="I1477" s="488">
        <f t="shared" si="59"/>
        <v>204256.75675675675</v>
      </c>
      <c r="J1477" s="488">
        <f t="shared" si="60"/>
        <v>22468.243243243243</v>
      </c>
      <c r="K1477" s="474">
        <v>226725</v>
      </c>
      <c r="L1477" s="475"/>
    </row>
    <row r="1478" spans="1:12" x14ac:dyDescent="0.2">
      <c r="A1478" s="305">
        <v>146</v>
      </c>
      <c r="B1478" s="469" t="s">
        <v>1808</v>
      </c>
      <c r="C1478" s="476" t="s">
        <v>6189</v>
      </c>
      <c r="D1478" s="464"/>
      <c r="E1478" s="465" t="s">
        <v>2934</v>
      </c>
      <c r="F1478" s="466" t="s">
        <v>2935</v>
      </c>
      <c r="G1478" s="464"/>
      <c r="H1478" s="477">
        <v>45153</v>
      </c>
      <c r="I1478" s="473">
        <f t="shared" si="59"/>
        <v>10053645.945945945</v>
      </c>
      <c r="J1478" s="473">
        <f t="shared" si="60"/>
        <v>1105901.054054054</v>
      </c>
      <c r="K1478" s="474">
        <f>3200865+7806321+152361</f>
        <v>11159547</v>
      </c>
      <c r="L1478" s="475"/>
    </row>
    <row r="1479" spans="1:12" x14ac:dyDescent="0.2">
      <c r="A1479" s="305">
        <v>147</v>
      </c>
      <c r="B1479" s="485" t="s">
        <v>1809</v>
      </c>
      <c r="C1479" s="476" t="s">
        <v>6188</v>
      </c>
      <c r="D1479" s="464"/>
      <c r="E1479" s="465" t="s">
        <v>2907</v>
      </c>
      <c r="F1479" s="466" t="s">
        <v>3092</v>
      </c>
      <c r="G1479" s="464"/>
      <c r="H1479" s="477">
        <v>45154</v>
      </c>
      <c r="I1479" s="488">
        <f t="shared" si="59"/>
        <v>2259510.8108108104</v>
      </c>
      <c r="J1479" s="488">
        <f t="shared" si="60"/>
        <v>248546.18918918914</v>
      </c>
      <c r="K1479" s="474">
        <f>1345257+1162800</f>
        <v>2508057</v>
      </c>
      <c r="L1479" s="475"/>
    </row>
    <row r="1480" spans="1:12" x14ac:dyDescent="0.2">
      <c r="A1480" s="305">
        <v>148</v>
      </c>
      <c r="B1480" s="469" t="s">
        <v>1810</v>
      </c>
      <c r="C1480" s="476" t="s">
        <v>6134</v>
      </c>
      <c r="D1480" s="464"/>
      <c r="E1480" s="465" t="s">
        <v>3455</v>
      </c>
      <c r="F1480" s="466" t="s">
        <v>2888</v>
      </c>
      <c r="G1480" s="464"/>
      <c r="H1480" s="477">
        <v>45159</v>
      </c>
      <c r="I1480" s="473">
        <f t="shared" si="59"/>
        <v>3476845.9459459456</v>
      </c>
      <c r="J1480" s="473">
        <f t="shared" si="60"/>
        <v>382453.05405405402</v>
      </c>
      <c r="K1480" s="474">
        <v>3859299</v>
      </c>
      <c r="L1480" s="475"/>
    </row>
    <row r="1481" spans="1:12" x14ac:dyDescent="0.2">
      <c r="A1481" s="305">
        <v>149</v>
      </c>
      <c r="B1481" s="485" t="s">
        <v>1811</v>
      </c>
      <c r="C1481" s="476" t="s">
        <v>6202</v>
      </c>
      <c r="D1481" s="464"/>
      <c r="E1481" s="465" t="s">
        <v>3014</v>
      </c>
      <c r="F1481" s="466" t="s">
        <v>3006</v>
      </c>
      <c r="G1481" s="464"/>
      <c r="H1481" s="477">
        <v>45161</v>
      </c>
      <c r="I1481" s="488">
        <f t="shared" si="59"/>
        <v>4060325.2252252251</v>
      </c>
      <c r="J1481" s="488">
        <f t="shared" si="60"/>
        <v>446635.77477477473</v>
      </c>
      <c r="K1481" s="474">
        <f>844141+3662820</f>
        <v>4506961</v>
      </c>
      <c r="L1481" s="475"/>
    </row>
    <row r="1482" spans="1:12" x14ac:dyDescent="0.2">
      <c r="A1482" s="305">
        <v>150</v>
      </c>
      <c r="B1482" s="469" t="s">
        <v>1812</v>
      </c>
      <c r="C1482" s="476" t="s">
        <v>6135</v>
      </c>
      <c r="D1482" s="464"/>
      <c r="E1482" s="465" t="s">
        <v>3553</v>
      </c>
      <c r="F1482" s="466" t="s">
        <v>2908</v>
      </c>
      <c r="G1482" s="464"/>
      <c r="H1482" s="477">
        <v>45161</v>
      </c>
      <c r="I1482" s="473">
        <f t="shared" si="59"/>
        <v>231081.08108108107</v>
      </c>
      <c r="J1482" s="473">
        <f t="shared" si="60"/>
        <v>25418.918918918916</v>
      </c>
      <c r="K1482" s="474">
        <v>256500</v>
      </c>
      <c r="L1482" s="475"/>
    </row>
    <row r="1483" spans="1:12" x14ac:dyDescent="0.2">
      <c r="A1483" s="305">
        <v>151</v>
      </c>
      <c r="B1483" s="485" t="s">
        <v>1813</v>
      </c>
      <c r="C1483" s="476" t="s">
        <v>6136</v>
      </c>
      <c r="D1483" s="464"/>
      <c r="E1483" s="465" t="s">
        <v>3471</v>
      </c>
      <c r="F1483" s="466" t="s">
        <v>2873</v>
      </c>
      <c r="G1483" s="464"/>
      <c r="H1483" s="477">
        <v>45161</v>
      </c>
      <c r="I1483" s="488">
        <f t="shared" si="59"/>
        <v>1229643.2432432431</v>
      </c>
      <c r="J1483" s="488">
        <f t="shared" si="60"/>
        <v>135260.75675675675</v>
      </c>
      <c r="K1483" s="474">
        <v>1364904</v>
      </c>
      <c r="L1483" s="475"/>
    </row>
    <row r="1484" spans="1:12" x14ac:dyDescent="0.2">
      <c r="A1484" s="305">
        <v>152</v>
      </c>
      <c r="B1484" s="469" t="s">
        <v>1814</v>
      </c>
      <c r="C1484" s="476" t="s">
        <v>6138</v>
      </c>
      <c r="D1484" s="464"/>
      <c r="E1484" s="465" t="s">
        <v>3087</v>
      </c>
      <c r="F1484" s="466" t="s">
        <v>2919</v>
      </c>
      <c r="G1484" s="464"/>
      <c r="H1484" s="477">
        <v>45163</v>
      </c>
      <c r="I1484" s="473">
        <f t="shared" si="59"/>
        <v>4079473.8738738736</v>
      </c>
      <c r="J1484" s="473">
        <f t="shared" si="60"/>
        <v>448742.1261261261</v>
      </c>
      <c r="K1484" s="474">
        <f>4052665+475551</f>
        <v>4528216</v>
      </c>
      <c r="L1484" s="475"/>
    </row>
    <row r="1485" spans="1:12" x14ac:dyDescent="0.2">
      <c r="A1485" s="305">
        <v>153</v>
      </c>
      <c r="B1485" s="485" t="s">
        <v>1815</v>
      </c>
      <c r="C1485" s="480" t="s">
        <v>6139</v>
      </c>
      <c r="D1485" s="481"/>
      <c r="E1485" s="482" t="s">
        <v>3087</v>
      </c>
      <c r="F1485" s="483" t="s">
        <v>2892</v>
      </c>
      <c r="G1485" s="513"/>
      <c r="H1485" s="484">
        <v>45164</v>
      </c>
      <c r="I1485" s="488">
        <f t="shared" si="59"/>
        <v>845272.07207207195</v>
      </c>
      <c r="J1485" s="488">
        <f t="shared" si="60"/>
        <v>92979.927927927914</v>
      </c>
      <c r="K1485" s="474">
        <v>938252</v>
      </c>
      <c r="L1485" s="475"/>
    </row>
    <row r="1486" spans="1:12" x14ac:dyDescent="0.2">
      <c r="A1486" s="305">
        <v>154</v>
      </c>
      <c r="B1486" s="469" t="s">
        <v>1816</v>
      </c>
      <c r="C1486" s="476" t="s">
        <v>6140</v>
      </c>
      <c r="D1486" s="464"/>
      <c r="E1486" s="465" t="s">
        <v>3027</v>
      </c>
      <c r="F1486" s="466" t="s">
        <v>3025</v>
      </c>
      <c r="G1486" s="464"/>
      <c r="H1486" s="477">
        <v>45166</v>
      </c>
      <c r="I1486" s="473">
        <f t="shared" si="59"/>
        <v>869776.57657657645</v>
      </c>
      <c r="J1486" s="473">
        <f t="shared" si="60"/>
        <v>95675.423423423417</v>
      </c>
      <c r="K1486" s="474">
        <f>234000+731452</f>
        <v>965452</v>
      </c>
      <c r="L1486" s="475"/>
    </row>
    <row r="1487" spans="1:12" x14ac:dyDescent="0.2">
      <c r="A1487" s="305">
        <v>155</v>
      </c>
      <c r="B1487" s="485" t="s">
        <v>1817</v>
      </c>
      <c r="C1487" s="476" t="s">
        <v>6141</v>
      </c>
      <c r="D1487" s="464"/>
      <c r="E1487" s="465" t="s">
        <v>3122</v>
      </c>
      <c r="F1487" s="466" t="s">
        <v>2946</v>
      </c>
      <c r="G1487" s="464"/>
      <c r="H1487" s="477">
        <v>45168</v>
      </c>
      <c r="I1487" s="488">
        <f t="shared" si="59"/>
        <v>576778.37837837834</v>
      </c>
      <c r="J1487" s="488">
        <f t="shared" si="60"/>
        <v>63445.62162162162</v>
      </c>
      <c r="K1487" s="474">
        <v>640224</v>
      </c>
      <c r="L1487" s="475"/>
    </row>
    <row r="1488" spans="1:12" x14ac:dyDescent="0.2">
      <c r="A1488" s="305">
        <v>156</v>
      </c>
      <c r="B1488" s="469" t="s">
        <v>1818</v>
      </c>
      <c r="C1488" s="476" t="s">
        <v>6142</v>
      </c>
      <c r="D1488" s="464"/>
      <c r="E1488" s="465" t="s">
        <v>5283</v>
      </c>
      <c r="F1488" s="466" t="s">
        <v>5284</v>
      </c>
      <c r="G1488" s="464"/>
      <c r="H1488" s="477">
        <v>45168</v>
      </c>
      <c r="I1488" s="473">
        <f t="shared" si="59"/>
        <v>166378.37837837837</v>
      </c>
      <c r="J1488" s="473">
        <f t="shared" si="60"/>
        <v>18301.62162162162</v>
      </c>
      <c r="K1488" s="474">
        <v>184680</v>
      </c>
      <c r="L1488" s="475"/>
    </row>
    <row r="1489" spans="1:12" x14ac:dyDescent="0.2">
      <c r="A1489" s="305">
        <v>157</v>
      </c>
      <c r="B1489" s="485" t="s">
        <v>1819</v>
      </c>
      <c r="C1489" s="476" t="s">
        <v>6144</v>
      </c>
      <c r="D1489" s="464"/>
      <c r="E1489" s="465" t="s">
        <v>2991</v>
      </c>
      <c r="F1489" s="466" t="s">
        <v>2886</v>
      </c>
      <c r="G1489" s="464"/>
      <c r="H1489" s="477">
        <v>45169</v>
      </c>
      <c r="I1489" s="488">
        <f t="shared" si="59"/>
        <v>1275567.5675675673</v>
      </c>
      <c r="J1489" s="488">
        <f t="shared" si="60"/>
        <v>140312.4324324324</v>
      </c>
      <c r="K1489" s="474">
        <v>1415880</v>
      </c>
      <c r="L1489" s="475"/>
    </row>
    <row r="1490" spans="1:12" x14ac:dyDescent="0.2">
      <c r="A1490" s="305">
        <v>158</v>
      </c>
      <c r="B1490" s="469" t="s">
        <v>1820</v>
      </c>
      <c r="C1490" s="480" t="s">
        <v>6145</v>
      </c>
      <c r="D1490" s="481"/>
      <c r="E1490" s="482" t="s">
        <v>6146</v>
      </c>
      <c r="F1490" s="483" t="s">
        <v>3959</v>
      </c>
      <c r="G1490" s="513"/>
      <c r="H1490" s="484">
        <v>45169</v>
      </c>
      <c r="I1490" s="473">
        <f t="shared" si="59"/>
        <v>1397578.3783783782</v>
      </c>
      <c r="J1490" s="473">
        <f t="shared" si="60"/>
        <v>153733.6216216216</v>
      </c>
      <c r="K1490" s="474">
        <v>1551312</v>
      </c>
      <c r="L1490" s="475"/>
    </row>
    <row r="1491" spans="1:12" x14ac:dyDescent="0.2">
      <c r="A1491" s="305">
        <v>159</v>
      </c>
      <c r="B1491" s="485" t="s">
        <v>1821</v>
      </c>
      <c r="C1491" s="476" t="s">
        <v>6148</v>
      </c>
      <c r="D1491" s="464"/>
      <c r="E1491" s="465" t="s">
        <v>2883</v>
      </c>
      <c r="F1491" s="466" t="s">
        <v>2884</v>
      </c>
      <c r="G1491" s="464"/>
      <c r="H1491" s="477">
        <v>45169</v>
      </c>
      <c r="I1491" s="488">
        <f t="shared" si="59"/>
        <v>1261261.2612612611</v>
      </c>
      <c r="J1491" s="488">
        <f t="shared" si="60"/>
        <v>138738.73873873873</v>
      </c>
      <c r="K1491" s="474">
        <v>1400000</v>
      </c>
      <c r="L1491" s="475"/>
    </row>
    <row r="1492" spans="1:12" x14ac:dyDescent="0.2">
      <c r="A1492" s="305">
        <v>160</v>
      </c>
      <c r="B1492" s="469" t="s">
        <v>1822</v>
      </c>
      <c r="C1492" s="476" t="s">
        <v>6149</v>
      </c>
      <c r="D1492" s="464"/>
      <c r="E1492" s="465" t="s">
        <v>4294</v>
      </c>
      <c r="F1492" s="466" t="s">
        <v>3018</v>
      </c>
      <c r="G1492" s="464"/>
      <c r="H1492" s="477">
        <v>45169</v>
      </c>
      <c r="I1492" s="473">
        <f t="shared" si="59"/>
        <v>182882.88288288287</v>
      </c>
      <c r="J1492" s="473">
        <f t="shared" si="60"/>
        <v>20117.117117117115</v>
      </c>
      <c r="K1492" s="474">
        <v>203000</v>
      </c>
      <c r="L1492" s="475"/>
    </row>
    <row r="1493" spans="1:12" x14ac:dyDescent="0.2">
      <c r="A1493" s="305">
        <v>161</v>
      </c>
      <c r="B1493" s="485" t="s">
        <v>1823</v>
      </c>
      <c r="C1493" s="476" t="s">
        <v>6150</v>
      </c>
      <c r="D1493" s="464"/>
      <c r="E1493" s="465" t="s">
        <v>3921</v>
      </c>
      <c r="F1493" s="466" t="s">
        <v>2873</v>
      </c>
      <c r="G1493" s="464"/>
      <c r="H1493" s="477">
        <v>45169</v>
      </c>
      <c r="I1493" s="488">
        <f t="shared" si="59"/>
        <v>2463016.2162162159</v>
      </c>
      <c r="J1493" s="488">
        <f t="shared" si="60"/>
        <v>270931.78378378373</v>
      </c>
      <c r="K1493" s="474">
        <v>2733948</v>
      </c>
      <c r="L1493" s="475"/>
    </row>
    <row r="1494" spans="1:12" x14ac:dyDescent="0.2">
      <c r="A1494" s="305">
        <v>162</v>
      </c>
      <c r="B1494" s="469" t="s">
        <v>1824</v>
      </c>
      <c r="C1494" s="476" t="s">
        <v>6151</v>
      </c>
      <c r="D1494" s="464"/>
      <c r="E1494" s="465" t="s">
        <v>2907</v>
      </c>
      <c r="F1494" s="466" t="s">
        <v>2792</v>
      </c>
      <c r="G1494" s="464"/>
      <c r="H1494" s="477">
        <v>45169</v>
      </c>
      <c r="I1494" s="473">
        <f t="shared" si="59"/>
        <v>1320859.4594594594</v>
      </c>
      <c r="J1494" s="473">
        <f t="shared" si="60"/>
        <v>145294.54054054053</v>
      </c>
      <c r="K1494" s="474">
        <v>1466154</v>
      </c>
      <c r="L1494" s="475"/>
    </row>
    <row r="1495" spans="1:12" x14ac:dyDescent="0.2">
      <c r="A1495" s="305">
        <v>163</v>
      </c>
      <c r="B1495" s="485" t="s">
        <v>1825</v>
      </c>
      <c r="C1495" s="476" t="s">
        <v>6154</v>
      </c>
      <c r="D1495" s="464"/>
      <c r="E1495" s="465" t="s">
        <v>2907</v>
      </c>
      <c r="F1495" s="466" t="s">
        <v>2858</v>
      </c>
      <c r="G1495" s="464"/>
      <c r="H1495" s="477">
        <v>45169</v>
      </c>
      <c r="I1495" s="488">
        <f t="shared" si="59"/>
        <v>1169270.2702702701</v>
      </c>
      <c r="J1495" s="488">
        <f t="shared" si="60"/>
        <v>128619.7297297297</v>
      </c>
      <c r="K1495" s="474">
        <v>1297890</v>
      </c>
      <c r="L1495" s="475"/>
    </row>
    <row r="1496" spans="1:12" x14ac:dyDescent="0.2">
      <c r="A1496" s="305">
        <v>164</v>
      </c>
      <c r="B1496" s="469" t="s">
        <v>1826</v>
      </c>
      <c r="C1496" s="476" t="s">
        <v>6156</v>
      </c>
      <c r="D1496" s="464"/>
      <c r="E1496" s="465" t="s">
        <v>2981</v>
      </c>
      <c r="F1496" s="466" t="s">
        <v>2982</v>
      </c>
      <c r="G1496" s="464"/>
      <c r="H1496" s="477">
        <v>45159</v>
      </c>
      <c r="I1496" s="473">
        <f t="shared" si="59"/>
        <v>2484583.7837837837</v>
      </c>
      <c r="J1496" s="473">
        <f t="shared" si="60"/>
        <v>273304.21621621621</v>
      </c>
      <c r="K1496" s="474">
        <v>2757888</v>
      </c>
      <c r="L1496" s="475"/>
    </row>
    <row r="1497" spans="1:12" x14ac:dyDescent="0.2">
      <c r="A1497" s="305">
        <v>165</v>
      </c>
      <c r="B1497" s="485" t="s">
        <v>1827</v>
      </c>
      <c r="C1497" s="476" t="s">
        <v>6198</v>
      </c>
      <c r="D1497" s="464"/>
      <c r="E1497" s="465" t="s">
        <v>2948</v>
      </c>
      <c r="F1497" s="466" t="s">
        <v>2892</v>
      </c>
      <c r="G1497" s="464"/>
      <c r="H1497" s="477">
        <v>45161</v>
      </c>
      <c r="I1497" s="488">
        <f t="shared" si="59"/>
        <v>5714172.9729729723</v>
      </c>
      <c r="J1497" s="488">
        <f t="shared" si="60"/>
        <v>628559.02702702698</v>
      </c>
      <c r="K1497" s="474">
        <f>3890592+2452140</f>
        <v>6342732</v>
      </c>
      <c r="L1497" s="475"/>
    </row>
    <row r="1498" spans="1:12" x14ac:dyDescent="0.2">
      <c r="A1498" s="305">
        <v>166</v>
      </c>
      <c r="B1498" s="469" t="s">
        <v>1828</v>
      </c>
      <c r="C1498" s="480" t="s">
        <v>6166</v>
      </c>
      <c r="D1498" s="481"/>
      <c r="E1498" s="465" t="s">
        <v>6909</v>
      </c>
      <c r="F1498" s="483" t="s">
        <v>2886</v>
      </c>
      <c r="G1498" s="513"/>
      <c r="H1498" s="484">
        <v>45161</v>
      </c>
      <c r="I1498" s="473">
        <f t="shared" si="59"/>
        <v>7226240.5405405397</v>
      </c>
      <c r="J1498" s="473">
        <f t="shared" si="60"/>
        <v>794886.45945945941</v>
      </c>
      <c r="K1498" s="474">
        <f>7865202+155925</f>
        <v>8021127</v>
      </c>
      <c r="L1498" s="475"/>
    </row>
    <row r="1499" spans="1:12" x14ac:dyDescent="0.2">
      <c r="A1499" s="305">
        <v>167</v>
      </c>
      <c r="B1499" s="485" t="s">
        <v>1829</v>
      </c>
      <c r="C1499" s="476" t="s">
        <v>6165</v>
      </c>
      <c r="D1499" s="464"/>
      <c r="E1499" s="465" t="s">
        <v>4582</v>
      </c>
      <c r="F1499" s="466" t="s">
        <v>2792</v>
      </c>
      <c r="G1499" s="464"/>
      <c r="H1499" s="477">
        <v>45161</v>
      </c>
      <c r="I1499" s="488">
        <f t="shared" si="59"/>
        <v>4592043.2432432426</v>
      </c>
      <c r="J1499" s="488">
        <f t="shared" si="60"/>
        <v>505124.75675675669</v>
      </c>
      <c r="K1499" s="474">
        <v>5097168</v>
      </c>
      <c r="L1499" s="475"/>
    </row>
    <row r="1500" spans="1:12" x14ac:dyDescent="0.2">
      <c r="A1500" s="305">
        <v>168</v>
      </c>
      <c r="B1500" s="469" t="s">
        <v>1830</v>
      </c>
      <c r="C1500" s="476" t="s">
        <v>6181</v>
      </c>
      <c r="D1500" s="464"/>
      <c r="E1500" s="465" t="s">
        <v>2958</v>
      </c>
      <c r="F1500" s="466" t="s">
        <v>2823</v>
      </c>
      <c r="G1500" s="464"/>
      <c r="H1500" s="477">
        <v>45148</v>
      </c>
      <c r="I1500" s="473">
        <f t="shared" si="59"/>
        <v>15938278.378378376</v>
      </c>
      <c r="J1500" s="473">
        <f t="shared" si="60"/>
        <v>1753210.6216216213</v>
      </c>
      <c r="K1500" s="474">
        <f>6180624+11510865</f>
        <v>17691489</v>
      </c>
      <c r="L1500" s="475"/>
    </row>
    <row r="1501" spans="1:12" x14ac:dyDescent="0.2">
      <c r="A1501" s="305">
        <v>169</v>
      </c>
      <c r="B1501" s="485" t="s">
        <v>1831</v>
      </c>
      <c r="C1501" s="476" t="s">
        <v>6178</v>
      </c>
      <c r="D1501" s="464"/>
      <c r="E1501" s="465" t="s">
        <v>3000</v>
      </c>
      <c r="F1501" s="466" t="s">
        <v>3001</v>
      </c>
      <c r="G1501" s="464"/>
      <c r="H1501" s="477">
        <v>45148</v>
      </c>
      <c r="I1501" s="488">
        <f t="shared" si="59"/>
        <v>40540.54054054054</v>
      </c>
      <c r="J1501" s="488">
        <f t="shared" si="60"/>
        <v>4459.4594594594591</v>
      </c>
      <c r="K1501" s="474">
        <v>45000</v>
      </c>
      <c r="L1501" s="475"/>
    </row>
    <row r="1502" spans="1:12" x14ac:dyDescent="0.2">
      <c r="A1502" s="305">
        <v>170</v>
      </c>
      <c r="B1502" s="469" t="s">
        <v>1832</v>
      </c>
      <c r="C1502" s="476" t="s">
        <v>6179</v>
      </c>
      <c r="D1502" s="464"/>
      <c r="E1502" s="465" t="s">
        <v>2933</v>
      </c>
      <c r="F1502" s="466" t="s">
        <v>2823</v>
      </c>
      <c r="G1502" s="464"/>
      <c r="H1502" s="477">
        <v>45149</v>
      </c>
      <c r="I1502" s="473">
        <f t="shared" si="59"/>
        <v>15899751.351351351</v>
      </c>
      <c r="J1502" s="473">
        <f t="shared" si="60"/>
        <v>1748972.6486486485</v>
      </c>
      <c r="K1502" s="474">
        <v>17648724</v>
      </c>
      <c r="L1502" s="475"/>
    </row>
    <row r="1503" spans="1:12" x14ac:dyDescent="0.2">
      <c r="A1503" s="305">
        <v>171</v>
      </c>
      <c r="B1503" s="485" t="s">
        <v>1833</v>
      </c>
      <c r="C1503" s="476" t="s">
        <v>6183</v>
      </c>
      <c r="D1503" s="464"/>
      <c r="E1503" s="465" t="s">
        <v>2904</v>
      </c>
      <c r="F1503" s="466" t="s">
        <v>2905</v>
      </c>
      <c r="G1503" s="464"/>
      <c r="H1503" s="477">
        <v>45153</v>
      </c>
      <c r="I1503" s="488">
        <f t="shared" si="59"/>
        <v>1414594.5945945946</v>
      </c>
      <c r="J1503" s="488">
        <f t="shared" si="60"/>
        <v>155605.40540540541</v>
      </c>
      <c r="K1503" s="474">
        <f>1365000+205200</f>
        <v>1570200</v>
      </c>
      <c r="L1503" s="475"/>
    </row>
    <row r="1504" spans="1:12" x14ac:dyDescent="0.2">
      <c r="A1504" s="305">
        <v>172</v>
      </c>
      <c r="B1504" s="469" t="s">
        <v>1834</v>
      </c>
      <c r="C1504" s="476" t="s">
        <v>6184</v>
      </c>
      <c r="D1504" s="464"/>
      <c r="E1504" s="465" t="s">
        <v>2898</v>
      </c>
      <c r="F1504" s="466" t="s">
        <v>2823</v>
      </c>
      <c r="G1504" s="464"/>
      <c r="H1504" s="477">
        <v>45163</v>
      </c>
      <c r="I1504" s="473">
        <f t="shared" si="59"/>
        <v>7316951.3513513505</v>
      </c>
      <c r="J1504" s="473">
        <f t="shared" si="60"/>
        <v>804864.64864864852</v>
      </c>
      <c r="K1504" s="474">
        <f>1075248+7046568</f>
        <v>8121816</v>
      </c>
      <c r="L1504" s="475"/>
    </row>
    <row r="1505" spans="1:12" x14ac:dyDescent="0.2">
      <c r="A1505" s="305">
        <v>173</v>
      </c>
      <c r="B1505" s="485" t="s">
        <v>1835</v>
      </c>
      <c r="C1505" s="476" t="s">
        <v>6186</v>
      </c>
      <c r="D1505" s="464"/>
      <c r="E1505" s="465" t="s">
        <v>2937</v>
      </c>
      <c r="F1505" s="466" t="s">
        <v>2823</v>
      </c>
      <c r="G1505" s="464"/>
      <c r="H1505" s="477">
        <v>45169</v>
      </c>
      <c r="I1505" s="488">
        <f t="shared" si="59"/>
        <v>6133816.2162162159</v>
      </c>
      <c r="J1505" s="488">
        <f t="shared" si="60"/>
        <v>674719.78378378379</v>
      </c>
      <c r="K1505" s="474">
        <v>6808536</v>
      </c>
      <c r="L1505" s="475"/>
    </row>
    <row r="1506" spans="1:12" x14ac:dyDescent="0.2">
      <c r="A1506" s="305">
        <v>174</v>
      </c>
      <c r="B1506" s="469" t="s">
        <v>1836</v>
      </c>
      <c r="C1506" s="476" t="s">
        <v>6193</v>
      </c>
      <c r="D1506" s="464"/>
      <c r="E1506" s="465" t="s">
        <v>2934</v>
      </c>
      <c r="F1506" s="466" t="s">
        <v>2935</v>
      </c>
      <c r="G1506" s="464"/>
      <c r="H1506" s="477">
        <v>45125</v>
      </c>
      <c r="I1506" s="473">
        <f t="shared" si="59"/>
        <v>4277310.8108108109</v>
      </c>
      <c r="J1506" s="473">
        <f t="shared" si="60"/>
        <v>470504.18918918917</v>
      </c>
      <c r="K1506" s="474">
        <f>500175+3324240+923400</f>
        <v>4747815</v>
      </c>
      <c r="L1506" s="475"/>
    </row>
    <row r="1507" spans="1:12" x14ac:dyDescent="0.2">
      <c r="A1507" s="305">
        <v>175</v>
      </c>
      <c r="B1507" s="485" t="s">
        <v>1837</v>
      </c>
      <c r="C1507" s="476" t="s">
        <v>6190</v>
      </c>
      <c r="D1507" s="464"/>
      <c r="E1507" s="465" t="s">
        <v>3605</v>
      </c>
      <c r="F1507" s="466" t="s">
        <v>2915</v>
      </c>
      <c r="G1507" s="464"/>
      <c r="H1507" s="477">
        <v>45141</v>
      </c>
      <c r="I1507" s="488">
        <f t="shared" si="59"/>
        <v>17412729.729729727</v>
      </c>
      <c r="J1507" s="488">
        <f t="shared" si="60"/>
        <v>1915400.2702702701</v>
      </c>
      <c r="K1507" s="474">
        <f>790020+6749370+11788740</f>
        <v>19328130</v>
      </c>
      <c r="L1507" s="475"/>
    </row>
    <row r="1508" spans="1:12" x14ac:dyDescent="0.2">
      <c r="A1508" s="305">
        <v>176</v>
      </c>
      <c r="B1508" s="469" t="s">
        <v>1838</v>
      </c>
      <c r="C1508" s="476" t="s">
        <v>6191</v>
      </c>
      <c r="D1508" s="464"/>
      <c r="E1508" s="465" t="s">
        <v>3605</v>
      </c>
      <c r="F1508" s="466" t="s">
        <v>2915</v>
      </c>
      <c r="G1508" s="464"/>
      <c r="H1508" s="477">
        <v>45166</v>
      </c>
      <c r="I1508" s="473">
        <f t="shared" si="59"/>
        <v>25475996.396396395</v>
      </c>
      <c r="J1508" s="473">
        <f t="shared" si="60"/>
        <v>2802359.6036036033</v>
      </c>
      <c r="K1508" s="474">
        <f>24264644+2954880+1058832</f>
        <v>28278356</v>
      </c>
      <c r="L1508" s="475"/>
    </row>
    <row r="1509" spans="1:12" x14ac:dyDescent="0.2">
      <c r="A1509" s="305">
        <v>177</v>
      </c>
      <c r="B1509" s="485" t="s">
        <v>1839</v>
      </c>
      <c r="C1509" s="480" t="s">
        <v>6192</v>
      </c>
      <c r="D1509" s="481"/>
      <c r="E1509" s="482" t="s">
        <v>3608</v>
      </c>
      <c r="F1509" s="483" t="s">
        <v>3609</v>
      </c>
      <c r="G1509" s="513"/>
      <c r="H1509" s="484">
        <v>45141</v>
      </c>
      <c r="I1509" s="488">
        <f t="shared" si="59"/>
        <v>2223000</v>
      </c>
      <c r="J1509" s="488">
        <f t="shared" si="60"/>
        <v>244530</v>
      </c>
      <c r="K1509" s="474">
        <f>655614+506844+1305072</f>
        <v>2467530</v>
      </c>
      <c r="L1509" s="475"/>
    </row>
    <row r="1510" spans="1:12" x14ac:dyDescent="0.2">
      <c r="A1510" s="305">
        <v>178</v>
      </c>
      <c r="B1510" s="469" t="s">
        <v>1840</v>
      </c>
      <c r="C1510" s="476" t="s">
        <v>6194</v>
      </c>
      <c r="D1510" s="464"/>
      <c r="E1510" s="465" t="s">
        <v>3156</v>
      </c>
      <c r="F1510" s="466" t="s">
        <v>2912</v>
      </c>
      <c r="G1510" s="464"/>
      <c r="H1510" s="477">
        <v>45168</v>
      </c>
      <c r="I1510" s="473">
        <f t="shared" si="59"/>
        <v>67783.783783783772</v>
      </c>
      <c r="J1510" s="473">
        <f t="shared" si="60"/>
        <v>7456.2162162162149</v>
      </c>
      <c r="K1510" s="474">
        <v>75240</v>
      </c>
      <c r="L1510" s="475"/>
    </row>
    <row r="1511" spans="1:12" x14ac:dyDescent="0.2">
      <c r="A1511" s="305">
        <v>179</v>
      </c>
      <c r="B1511" s="485" t="s">
        <v>1841</v>
      </c>
      <c r="C1511" s="476" t="s">
        <v>6195</v>
      </c>
      <c r="D1511" s="464"/>
      <c r="E1511" s="465" t="s">
        <v>4605</v>
      </c>
      <c r="F1511" s="466" t="s">
        <v>2851</v>
      </c>
      <c r="G1511" s="464"/>
      <c r="H1511" s="477">
        <v>45168</v>
      </c>
      <c r="I1511" s="488">
        <f t="shared" si="59"/>
        <v>3794472.9729729728</v>
      </c>
      <c r="J1511" s="488">
        <f t="shared" si="60"/>
        <v>417392.02702702698</v>
      </c>
      <c r="K1511" s="474">
        <f>2580525+1631340</f>
        <v>4211865</v>
      </c>
      <c r="L1511" s="475"/>
    </row>
    <row r="1512" spans="1:12" x14ac:dyDescent="0.2">
      <c r="A1512" s="305">
        <v>180</v>
      </c>
      <c r="B1512" s="469" t="s">
        <v>1842</v>
      </c>
      <c r="C1512" s="476" t="s">
        <v>6197</v>
      </c>
      <c r="D1512" s="464"/>
      <c r="E1512" s="465" t="s">
        <v>3556</v>
      </c>
      <c r="F1512" s="466" t="s">
        <v>3061</v>
      </c>
      <c r="G1512" s="464"/>
      <c r="H1512" s="477">
        <v>45169</v>
      </c>
      <c r="I1512" s="473">
        <f t="shared" si="59"/>
        <v>6507243.2432432426</v>
      </c>
      <c r="J1512" s="473">
        <f t="shared" si="60"/>
        <v>715796.75675675669</v>
      </c>
      <c r="K1512" s="474">
        <v>7223040</v>
      </c>
      <c r="L1512" s="475"/>
    </row>
    <row r="1513" spans="1:12" x14ac:dyDescent="0.2">
      <c r="A1513" s="305">
        <v>181</v>
      </c>
      <c r="B1513" s="485" t="s">
        <v>1843</v>
      </c>
      <c r="C1513" s="476" t="s">
        <v>6199</v>
      </c>
      <c r="D1513" s="464"/>
      <c r="E1513" s="465" t="s">
        <v>2907</v>
      </c>
      <c r="F1513" s="466" t="s">
        <v>2926</v>
      </c>
      <c r="G1513" s="464"/>
      <c r="H1513" s="477">
        <v>45169</v>
      </c>
      <c r="I1513" s="488">
        <f t="shared" si="59"/>
        <v>2994810.8108108104</v>
      </c>
      <c r="J1513" s="488">
        <f t="shared" si="60"/>
        <v>329429.18918918917</v>
      </c>
      <c r="K1513" s="474">
        <v>3324240</v>
      </c>
      <c r="L1513" s="475"/>
    </row>
    <row r="1514" spans="1:12" x14ac:dyDescent="0.2">
      <c r="A1514" s="305">
        <v>182</v>
      </c>
      <c r="B1514" s="469" t="s">
        <v>1844</v>
      </c>
      <c r="C1514" s="480" t="s">
        <v>6208</v>
      </c>
      <c r="D1514" s="481"/>
      <c r="E1514" s="482" t="s">
        <v>2934</v>
      </c>
      <c r="F1514" s="483" t="s">
        <v>2935</v>
      </c>
      <c r="G1514" s="513"/>
      <c r="H1514" s="484">
        <v>45169</v>
      </c>
      <c r="I1514" s="473">
        <f t="shared" si="59"/>
        <v>2615837.8378378376</v>
      </c>
      <c r="J1514" s="473">
        <f t="shared" si="60"/>
        <v>287742.16216216213</v>
      </c>
      <c r="K1514" s="474">
        <f>2523960+379620</f>
        <v>2903580</v>
      </c>
      <c r="L1514" s="475"/>
    </row>
    <row r="1515" spans="1:12" x14ac:dyDescent="0.2">
      <c r="A1515" s="305">
        <v>183</v>
      </c>
      <c r="B1515" s="485" t="s">
        <v>1845</v>
      </c>
      <c r="C1515" s="476" t="s">
        <v>6203</v>
      </c>
      <c r="D1515" s="464"/>
      <c r="E1515" s="465" t="s">
        <v>3112</v>
      </c>
      <c r="F1515" s="466" t="s">
        <v>2955</v>
      </c>
      <c r="G1515" s="464"/>
      <c r="H1515" s="477">
        <v>45169</v>
      </c>
      <c r="I1515" s="488">
        <f t="shared" si="59"/>
        <v>2690708.1081081079</v>
      </c>
      <c r="J1515" s="488">
        <f t="shared" si="60"/>
        <v>295977.89189189189</v>
      </c>
      <c r="K1515" s="474">
        <v>2986686</v>
      </c>
      <c r="L1515" s="475"/>
    </row>
    <row r="1516" spans="1:12" x14ac:dyDescent="0.2">
      <c r="A1516" s="305">
        <v>184</v>
      </c>
      <c r="B1516" s="469" t="s">
        <v>1846</v>
      </c>
      <c r="C1516" s="476" t="s">
        <v>6204</v>
      </c>
      <c r="D1516" s="464"/>
      <c r="E1516" s="465" t="s">
        <v>2936</v>
      </c>
      <c r="F1516" s="466" t="s">
        <v>2922</v>
      </c>
      <c r="G1516" s="464"/>
      <c r="H1516" s="477">
        <v>45169</v>
      </c>
      <c r="I1516" s="473">
        <f t="shared" si="59"/>
        <v>5536702.702702702</v>
      </c>
      <c r="J1516" s="473">
        <f t="shared" si="60"/>
        <v>609037.29729729728</v>
      </c>
      <c r="K1516" s="474">
        <v>6145740</v>
      </c>
      <c r="L1516" s="475"/>
    </row>
    <row r="1517" spans="1:12" x14ac:dyDescent="0.2">
      <c r="A1517" s="305">
        <v>185</v>
      </c>
      <c r="B1517" s="485" t="s">
        <v>1847</v>
      </c>
      <c r="C1517" s="476" t="s">
        <v>6206</v>
      </c>
      <c r="D1517" s="464"/>
      <c r="E1517" s="465" t="s">
        <v>2885</v>
      </c>
      <c r="F1517" s="466" t="s">
        <v>2886</v>
      </c>
      <c r="G1517" s="464"/>
      <c r="H1517" s="477">
        <v>45169</v>
      </c>
      <c r="I1517" s="488">
        <f>K1517/1.11</f>
        <v>1796886.4864864864</v>
      </c>
      <c r="J1517" s="488">
        <f>I1517*11%</f>
        <v>197657.51351351349</v>
      </c>
      <c r="K1517" s="474">
        <v>1994544</v>
      </c>
      <c r="L1517" s="475"/>
    </row>
    <row r="1518" spans="1:12" x14ac:dyDescent="0.2">
      <c r="A1518" s="305">
        <v>186</v>
      </c>
      <c r="B1518" s="469" t="s">
        <v>1848</v>
      </c>
      <c r="C1518" s="476" t="s">
        <v>6207</v>
      </c>
      <c r="D1518" s="464"/>
      <c r="E1518" s="465" t="s">
        <v>3104</v>
      </c>
      <c r="F1518" s="466" t="s">
        <v>3061</v>
      </c>
      <c r="G1518" s="464"/>
      <c r="H1518" s="477">
        <v>45169</v>
      </c>
      <c r="I1518" s="473">
        <f>K1518/1.11</f>
        <v>1399999.9999999998</v>
      </c>
      <c r="J1518" s="473">
        <f>I1518*11%</f>
        <v>153999.99999999997</v>
      </c>
      <c r="K1518" s="474">
        <v>1554000</v>
      </c>
      <c r="L1518" s="475"/>
    </row>
    <row r="1519" spans="1:12" x14ac:dyDescent="0.2">
      <c r="A1519" s="305">
        <v>187</v>
      </c>
      <c r="B1519" s="485" t="s">
        <v>1849</v>
      </c>
      <c r="C1519" s="476" t="s">
        <v>6210</v>
      </c>
      <c r="D1519" s="464"/>
      <c r="E1519" s="465" t="s">
        <v>5328</v>
      </c>
      <c r="F1519" s="466" t="s">
        <v>3025</v>
      </c>
      <c r="G1519" s="464"/>
      <c r="H1519" s="477">
        <v>45169</v>
      </c>
      <c r="I1519" s="488">
        <f>K1519/1.11</f>
        <v>2400000</v>
      </c>
      <c r="J1519" s="488">
        <f>I1519*11%</f>
        <v>264000</v>
      </c>
      <c r="K1519" s="474">
        <v>2664000</v>
      </c>
      <c r="L1519" s="475"/>
    </row>
    <row r="1520" spans="1:12" ht="18" x14ac:dyDescent="0.25">
      <c r="B1520" s="490" t="s">
        <v>287</v>
      </c>
      <c r="C1520" s="491"/>
      <c r="D1520" s="492"/>
      <c r="E1520" s="493"/>
      <c r="F1520" s="494"/>
      <c r="G1520" s="514"/>
      <c r="H1520" s="495"/>
      <c r="I1520" s="496">
        <f>SUM(I1334:I1519)</f>
        <v>1269969486.486486</v>
      </c>
      <c r="J1520" s="496">
        <f>SUM(J1334:J1519)</f>
        <v>139696643.51351351</v>
      </c>
      <c r="K1520" s="496">
        <f>SUM(K1334:K1519)</f>
        <v>1409666130</v>
      </c>
      <c r="L1520" s="497"/>
    </row>
    <row r="1521" spans="1:12" s="352" customFormat="1" ht="20.25" x14ac:dyDescent="0.3">
      <c r="A1521" s="305"/>
      <c r="B1521" s="498" t="s">
        <v>106</v>
      </c>
      <c r="C1521" s="486"/>
      <c r="D1521" s="487"/>
      <c r="E1521" s="487"/>
      <c r="F1521" s="487"/>
      <c r="G1521" s="487"/>
      <c r="H1521" s="499"/>
      <c r="I1521" s="500"/>
      <c r="J1521" s="500"/>
      <c r="K1521" s="501"/>
      <c r="L1521" s="502"/>
    </row>
    <row r="1522" spans="1:12" s="520" customFormat="1" x14ac:dyDescent="0.2">
      <c r="A1522" s="517">
        <v>1</v>
      </c>
      <c r="B1522" s="485" t="s">
        <v>1850</v>
      </c>
      <c r="C1522" s="486" t="s">
        <v>6239</v>
      </c>
      <c r="D1522" s="487" t="s">
        <v>2753</v>
      </c>
      <c r="E1522" s="503" t="s">
        <v>2754</v>
      </c>
      <c r="F1522" s="504" t="s">
        <v>2755</v>
      </c>
      <c r="G1522" s="518" t="s">
        <v>5110</v>
      </c>
      <c r="H1522" s="519">
        <v>45175</v>
      </c>
      <c r="I1522" s="488">
        <f>K1522/1.11</f>
        <v>1337387.3873873872</v>
      </c>
      <c r="J1522" s="488">
        <f>I1522*11%</f>
        <v>147112.6126126126</v>
      </c>
      <c r="K1522" s="489">
        <v>1484500</v>
      </c>
      <c r="L1522" s="547"/>
    </row>
    <row r="1523" spans="1:12" s="520" customFormat="1" x14ac:dyDescent="0.2">
      <c r="A1523" s="517">
        <v>2</v>
      </c>
      <c r="B1523" s="469" t="s">
        <v>1851</v>
      </c>
      <c r="C1523" s="470" t="s">
        <v>6240</v>
      </c>
      <c r="D1523" s="464" t="s">
        <v>2779</v>
      </c>
      <c r="E1523" s="471" t="s">
        <v>2780</v>
      </c>
      <c r="F1523" s="471" t="s">
        <v>2755</v>
      </c>
      <c r="G1523" s="518" t="s">
        <v>5111</v>
      </c>
      <c r="H1523" s="519">
        <v>45178</v>
      </c>
      <c r="I1523" s="473">
        <f>K1523/1.11</f>
        <v>377027.02702702698</v>
      </c>
      <c r="J1523" s="473">
        <f>I1523*11%</f>
        <v>41472.972972972966</v>
      </c>
      <c r="K1523" s="474">
        <v>418500</v>
      </c>
      <c r="L1523" s="475"/>
    </row>
    <row r="1524" spans="1:12" s="520" customFormat="1" x14ac:dyDescent="0.2">
      <c r="A1524" s="517">
        <v>3</v>
      </c>
      <c r="B1524" s="485" t="s">
        <v>1852</v>
      </c>
      <c r="C1524" s="476" t="s">
        <v>6241</v>
      </c>
      <c r="D1524" s="464" t="s">
        <v>2783</v>
      </c>
      <c r="E1524" s="465" t="s">
        <v>2784</v>
      </c>
      <c r="F1524" s="466" t="s">
        <v>2785</v>
      </c>
      <c r="G1524" s="518" t="s">
        <v>5112</v>
      </c>
      <c r="H1524" s="519">
        <v>45178</v>
      </c>
      <c r="I1524" s="488">
        <f t="shared" ref="I1524:I1586" si="61">K1524/1.11</f>
        <v>13621621.62162162</v>
      </c>
      <c r="J1524" s="488">
        <f t="shared" ref="J1524:J1586" si="62">I1524*11%</f>
        <v>1498378.3783783782</v>
      </c>
      <c r="K1524" s="474">
        <v>15120000</v>
      </c>
      <c r="L1524" s="475"/>
    </row>
    <row r="1525" spans="1:12" s="520" customFormat="1" x14ac:dyDescent="0.2">
      <c r="A1525" s="517">
        <v>4</v>
      </c>
      <c r="B1525" s="469" t="s">
        <v>1853</v>
      </c>
      <c r="C1525" s="476" t="s">
        <v>6242</v>
      </c>
      <c r="D1525" s="464" t="s">
        <v>2783</v>
      </c>
      <c r="E1525" s="465" t="s">
        <v>2784</v>
      </c>
      <c r="F1525" s="466" t="s">
        <v>2785</v>
      </c>
      <c r="G1525" s="518" t="s">
        <v>5113</v>
      </c>
      <c r="H1525" s="519">
        <v>45178</v>
      </c>
      <c r="I1525" s="473">
        <f t="shared" si="61"/>
        <v>16146666.666666666</v>
      </c>
      <c r="J1525" s="473">
        <f t="shared" si="62"/>
        <v>1776133.3333333333</v>
      </c>
      <c r="K1525" s="474">
        <v>17922800</v>
      </c>
      <c r="L1525" s="475"/>
    </row>
    <row r="1526" spans="1:12" s="520" customFormat="1" x14ac:dyDescent="0.2">
      <c r="A1526" s="517">
        <v>5</v>
      </c>
      <c r="B1526" s="485" t="s">
        <v>1854</v>
      </c>
      <c r="C1526" s="476" t="s">
        <v>6243</v>
      </c>
      <c r="D1526" s="487" t="s">
        <v>2790</v>
      </c>
      <c r="E1526" s="503" t="s">
        <v>2791</v>
      </c>
      <c r="F1526" s="504" t="s">
        <v>2792</v>
      </c>
      <c r="G1526" s="518" t="s">
        <v>5114</v>
      </c>
      <c r="H1526" s="519">
        <v>45180</v>
      </c>
      <c r="I1526" s="488">
        <f t="shared" si="61"/>
        <v>1589837.8378378376</v>
      </c>
      <c r="J1526" s="488">
        <f t="shared" si="62"/>
        <v>174882.16216216213</v>
      </c>
      <c r="K1526" s="474">
        <v>1764720</v>
      </c>
      <c r="L1526" s="475"/>
    </row>
    <row r="1527" spans="1:12" s="520" customFormat="1" x14ac:dyDescent="0.2">
      <c r="A1527" s="517">
        <v>6</v>
      </c>
      <c r="B1527" s="469" t="s">
        <v>1855</v>
      </c>
      <c r="C1527" s="476" t="s">
        <v>6244</v>
      </c>
      <c r="D1527" s="464" t="s">
        <v>2758</v>
      </c>
      <c r="E1527" s="708" t="s">
        <v>2759</v>
      </c>
      <c r="F1527" s="466" t="s">
        <v>2755</v>
      </c>
      <c r="G1527" s="518" t="s">
        <v>5115</v>
      </c>
      <c r="H1527" s="519">
        <v>45180</v>
      </c>
      <c r="I1527" s="473">
        <f t="shared" si="61"/>
        <v>5027286.4864864862</v>
      </c>
      <c r="J1527" s="473">
        <f t="shared" si="62"/>
        <v>553001.51351351349</v>
      </c>
      <c r="K1527" s="474">
        <v>5580288</v>
      </c>
      <c r="L1527" s="475"/>
    </row>
    <row r="1528" spans="1:12" s="520" customFormat="1" x14ac:dyDescent="0.2">
      <c r="A1528" s="517">
        <v>7</v>
      </c>
      <c r="B1528" s="485" t="s">
        <v>1856</v>
      </c>
      <c r="C1528" s="476" t="s">
        <v>6245</v>
      </c>
      <c r="D1528" s="464" t="s">
        <v>2783</v>
      </c>
      <c r="E1528" s="465" t="s">
        <v>2784</v>
      </c>
      <c r="F1528" s="466" t="s">
        <v>2785</v>
      </c>
      <c r="G1528" s="518" t="s">
        <v>5116</v>
      </c>
      <c r="H1528" s="519">
        <v>45180</v>
      </c>
      <c r="I1528" s="488">
        <f t="shared" si="61"/>
        <v>6163783.7837837832</v>
      </c>
      <c r="J1528" s="488">
        <f t="shared" si="62"/>
        <v>678016.21621621621</v>
      </c>
      <c r="K1528" s="474">
        <v>6841800</v>
      </c>
      <c r="L1528" s="475"/>
    </row>
    <row r="1529" spans="1:12" s="520" customFormat="1" x14ac:dyDescent="0.2">
      <c r="A1529" s="517">
        <v>8</v>
      </c>
      <c r="B1529" s="469" t="s">
        <v>1857</v>
      </c>
      <c r="C1529" s="476" t="s">
        <v>6246</v>
      </c>
      <c r="D1529" s="487" t="s">
        <v>2826</v>
      </c>
      <c r="E1529" s="503" t="s">
        <v>2827</v>
      </c>
      <c r="F1529" s="504" t="s">
        <v>2828</v>
      </c>
      <c r="G1529" s="518" t="s">
        <v>5117</v>
      </c>
      <c r="H1529" s="519">
        <v>45180</v>
      </c>
      <c r="I1529" s="473">
        <f t="shared" si="61"/>
        <v>3101351.351351351</v>
      </c>
      <c r="J1529" s="473">
        <f t="shared" si="62"/>
        <v>341148.64864864864</v>
      </c>
      <c r="K1529" s="474">
        <v>3442500</v>
      </c>
      <c r="L1529" s="475"/>
    </row>
    <row r="1530" spans="1:12" s="520" customFormat="1" x14ac:dyDescent="0.2">
      <c r="A1530" s="517">
        <v>9</v>
      </c>
      <c r="B1530" s="485" t="s">
        <v>1858</v>
      </c>
      <c r="C1530" s="476" t="s">
        <v>6247</v>
      </c>
      <c r="D1530" s="464" t="s">
        <v>2806</v>
      </c>
      <c r="E1530" s="465" t="s">
        <v>2807</v>
      </c>
      <c r="F1530" s="466" t="s">
        <v>2808</v>
      </c>
      <c r="G1530" s="518" t="s">
        <v>5118</v>
      </c>
      <c r="H1530" s="519">
        <v>45173</v>
      </c>
      <c r="I1530" s="488">
        <f t="shared" si="61"/>
        <v>2860540.5405405401</v>
      </c>
      <c r="J1530" s="488">
        <f t="shared" si="62"/>
        <v>314659.45945945941</v>
      </c>
      <c r="K1530" s="474">
        <v>3175200</v>
      </c>
      <c r="L1530" s="475"/>
    </row>
    <row r="1531" spans="1:12" s="520" customFormat="1" ht="14.25" customHeight="1" x14ac:dyDescent="0.2">
      <c r="A1531" s="517">
        <v>10</v>
      </c>
      <c r="B1531" s="469" t="s">
        <v>1859</v>
      </c>
      <c r="C1531" s="476" t="s">
        <v>6248</v>
      </c>
      <c r="D1531" s="464" t="s">
        <v>2758</v>
      </c>
      <c r="E1531" s="708" t="s">
        <v>2759</v>
      </c>
      <c r="F1531" s="466" t="s">
        <v>2755</v>
      </c>
      <c r="G1531" s="518" t="s">
        <v>5119</v>
      </c>
      <c r="H1531" s="519">
        <v>45181</v>
      </c>
      <c r="I1531" s="473">
        <f t="shared" si="61"/>
        <v>15192205.405405404</v>
      </c>
      <c r="J1531" s="473">
        <f t="shared" si="62"/>
        <v>1671142.5945945946</v>
      </c>
      <c r="K1531" s="474">
        <v>16863348</v>
      </c>
      <c r="L1531" s="475"/>
    </row>
    <row r="1532" spans="1:12" s="788" customFormat="1" ht="14.25" customHeight="1" x14ac:dyDescent="0.2">
      <c r="A1532" s="517">
        <v>11</v>
      </c>
      <c r="B1532" s="785" t="s">
        <v>1860</v>
      </c>
      <c r="C1532" s="476" t="s">
        <v>6505</v>
      </c>
      <c r="D1532" s="725" t="s">
        <v>2783</v>
      </c>
      <c r="E1532" s="708" t="s">
        <v>2784</v>
      </c>
      <c r="F1532" s="727" t="s">
        <v>2785</v>
      </c>
      <c r="G1532" s="786" t="s">
        <v>5120</v>
      </c>
      <c r="H1532" s="787">
        <v>45183</v>
      </c>
      <c r="I1532" s="488">
        <f t="shared" si="61"/>
        <v>3297567.5675675673</v>
      </c>
      <c r="J1532" s="488">
        <f t="shared" si="62"/>
        <v>362732.43243243243</v>
      </c>
      <c r="K1532" s="474">
        <v>3660300</v>
      </c>
      <c r="L1532" s="475"/>
    </row>
    <row r="1533" spans="1:12" s="520" customFormat="1" x14ac:dyDescent="0.2">
      <c r="A1533" s="517">
        <v>12</v>
      </c>
      <c r="B1533" s="469" t="s">
        <v>1861</v>
      </c>
      <c r="C1533" s="476" t="s">
        <v>6275</v>
      </c>
      <c r="D1533" s="725" t="s">
        <v>3300</v>
      </c>
      <c r="E1533" s="708" t="s">
        <v>3301</v>
      </c>
      <c r="F1533" s="726" t="s">
        <v>3001</v>
      </c>
      <c r="G1533" s="518" t="s">
        <v>5121</v>
      </c>
      <c r="H1533" s="519">
        <v>45184</v>
      </c>
      <c r="I1533" s="473">
        <f t="shared" si="61"/>
        <v>7226213.5135135129</v>
      </c>
      <c r="J1533" s="473">
        <f t="shared" si="62"/>
        <v>794883.48648648639</v>
      </c>
      <c r="K1533" s="474">
        <v>8021097</v>
      </c>
      <c r="L1533" s="475"/>
    </row>
    <row r="1534" spans="1:12" s="520" customFormat="1" ht="14.25" customHeight="1" x14ac:dyDescent="0.2">
      <c r="A1534" s="517">
        <v>13</v>
      </c>
      <c r="B1534" s="485" t="s">
        <v>1862</v>
      </c>
      <c r="C1534" s="476" t="s">
        <v>6276</v>
      </c>
      <c r="D1534" s="464" t="s">
        <v>4915</v>
      </c>
      <c r="E1534" s="471" t="s">
        <v>4916</v>
      </c>
      <c r="F1534" s="471" t="s">
        <v>2823</v>
      </c>
      <c r="G1534" s="518" t="s">
        <v>5122</v>
      </c>
      <c r="H1534" s="519">
        <v>45185</v>
      </c>
      <c r="I1534" s="488">
        <f t="shared" si="61"/>
        <v>8172972.9729729723</v>
      </c>
      <c r="J1534" s="488">
        <f t="shared" si="62"/>
        <v>899027.02702702698</v>
      </c>
      <c r="K1534" s="474">
        <v>9072000</v>
      </c>
      <c r="L1534" s="475"/>
    </row>
    <row r="1535" spans="1:12" s="520" customFormat="1" ht="14.25" customHeight="1" x14ac:dyDescent="0.2">
      <c r="A1535" s="517">
        <v>14</v>
      </c>
      <c r="B1535" s="469" t="s">
        <v>1863</v>
      </c>
      <c r="C1535" s="476" t="s">
        <v>6277</v>
      </c>
      <c r="D1535" s="464" t="s">
        <v>2758</v>
      </c>
      <c r="E1535" s="708" t="s">
        <v>2759</v>
      </c>
      <c r="F1535" s="466" t="s">
        <v>2755</v>
      </c>
      <c r="G1535" s="518" t="s">
        <v>5123</v>
      </c>
      <c r="H1535" s="519">
        <v>45185</v>
      </c>
      <c r="I1535" s="473">
        <f t="shared" si="61"/>
        <v>6538153.1531531522</v>
      </c>
      <c r="J1535" s="473">
        <f t="shared" si="62"/>
        <v>719196.84684684675</v>
      </c>
      <c r="K1535" s="474">
        <v>7257350</v>
      </c>
      <c r="L1535" s="475"/>
    </row>
    <row r="1536" spans="1:12" s="520" customFormat="1" x14ac:dyDescent="0.2">
      <c r="A1536" s="517">
        <v>15</v>
      </c>
      <c r="B1536" s="485" t="s">
        <v>1864</v>
      </c>
      <c r="C1536" s="476" t="s">
        <v>6278</v>
      </c>
      <c r="D1536" s="464" t="s">
        <v>2871</v>
      </c>
      <c r="E1536" s="465" t="s">
        <v>2872</v>
      </c>
      <c r="F1536" s="466" t="s">
        <v>2873</v>
      </c>
      <c r="G1536" s="518" t="s">
        <v>5124</v>
      </c>
      <c r="H1536" s="519">
        <v>45183</v>
      </c>
      <c r="I1536" s="488">
        <f t="shared" si="61"/>
        <v>867891.89189189184</v>
      </c>
      <c r="J1536" s="488">
        <f t="shared" si="62"/>
        <v>95468.108108108107</v>
      </c>
      <c r="K1536" s="474">
        <v>963360</v>
      </c>
      <c r="L1536" s="475"/>
    </row>
    <row r="1537" spans="1:12 16384:16384" s="520" customFormat="1" x14ac:dyDescent="0.2">
      <c r="A1537" s="517">
        <v>16</v>
      </c>
      <c r="B1537" s="469" t="s">
        <v>1865</v>
      </c>
      <c r="C1537" s="476" t="s">
        <v>6279</v>
      </c>
      <c r="D1537" s="464" t="s">
        <v>2783</v>
      </c>
      <c r="E1537" s="465" t="s">
        <v>2784</v>
      </c>
      <c r="F1537" s="466" t="s">
        <v>2785</v>
      </c>
      <c r="G1537" s="518" t="s">
        <v>5125</v>
      </c>
      <c r="H1537" s="519">
        <v>45187</v>
      </c>
      <c r="I1537" s="473">
        <f t="shared" si="61"/>
        <v>16832162.162162162</v>
      </c>
      <c r="J1537" s="473">
        <f t="shared" si="62"/>
        <v>1851537.8378378379</v>
      </c>
      <c r="K1537" s="474">
        <v>18683700</v>
      </c>
      <c r="L1537" s="475"/>
    </row>
    <row r="1538" spans="1:12 16384:16384" s="520" customFormat="1" x14ac:dyDescent="0.2">
      <c r="A1538" s="517">
        <v>17</v>
      </c>
      <c r="B1538" s="485" t="s">
        <v>1866</v>
      </c>
      <c r="C1538" s="476" t="s">
        <v>6307</v>
      </c>
      <c r="D1538" s="464" t="s">
        <v>2779</v>
      </c>
      <c r="E1538" s="471" t="s">
        <v>2780</v>
      </c>
      <c r="F1538" s="471" t="s">
        <v>2755</v>
      </c>
      <c r="G1538" s="518" t="s">
        <v>5126</v>
      </c>
      <c r="H1538" s="519">
        <v>45187</v>
      </c>
      <c r="I1538" s="488">
        <f t="shared" si="61"/>
        <v>1919189.1891891891</v>
      </c>
      <c r="J1538" s="488">
        <f t="shared" si="62"/>
        <v>211110.8108108108</v>
      </c>
      <c r="K1538" s="474">
        <v>2130300</v>
      </c>
      <c r="L1538" s="475"/>
    </row>
    <row r="1539" spans="1:12 16384:16384" s="520" customFormat="1" x14ac:dyDescent="0.2">
      <c r="A1539" s="517">
        <v>18</v>
      </c>
      <c r="B1539" s="469" t="s">
        <v>1867</v>
      </c>
      <c r="C1539" s="476" t="s">
        <v>6333</v>
      </c>
      <c r="D1539" s="487" t="s">
        <v>2790</v>
      </c>
      <c r="E1539" s="503" t="s">
        <v>2791</v>
      </c>
      <c r="F1539" s="504" t="s">
        <v>2792</v>
      </c>
      <c r="G1539" s="518" t="s">
        <v>5127</v>
      </c>
      <c r="H1539" s="519">
        <v>45192</v>
      </c>
      <c r="I1539" s="473">
        <f t="shared" si="61"/>
        <v>306306.30630630627</v>
      </c>
      <c r="J1539" s="473">
        <f t="shared" si="62"/>
        <v>33693.693693693691</v>
      </c>
      <c r="K1539" s="474">
        <v>340000</v>
      </c>
      <c r="L1539" s="475"/>
      <c r="XFD1539" s="520">
        <f>SUM(A1539:XFC1539)</f>
        <v>725210</v>
      </c>
    </row>
    <row r="1540" spans="1:12 16384:16384" s="520" customFormat="1" x14ac:dyDescent="0.2">
      <c r="A1540" s="517">
        <v>19</v>
      </c>
      <c r="B1540" s="485" t="s">
        <v>1868</v>
      </c>
      <c r="C1540" s="476" t="s">
        <v>6334</v>
      </c>
      <c r="D1540" s="464" t="s">
        <v>2783</v>
      </c>
      <c r="E1540" s="465" t="s">
        <v>2784</v>
      </c>
      <c r="F1540" s="466" t="s">
        <v>2785</v>
      </c>
      <c r="G1540" s="518" t="s">
        <v>5128</v>
      </c>
      <c r="H1540" s="477">
        <v>45192</v>
      </c>
      <c r="I1540" s="488">
        <f t="shared" si="61"/>
        <v>31957207.207207203</v>
      </c>
      <c r="J1540" s="488">
        <f t="shared" si="62"/>
        <v>3515292.7927927924</v>
      </c>
      <c r="K1540" s="474">
        <v>35472500</v>
      </c>
      <c r="L1540" s="475"/>
    </row>
    <row r="1541" spans="1:12 16384:16384" s="520" customFormat="1" x14ac:dyDescent="0.2">
      <c r="A1541" s="517">
        <v>20</v>
      </c>
      <c r="B1541" s="469" t="s">
        <v>1869</v>
      </c>
      <c r="C1541" s="476" t="s">
        <v>6335</v>
      </c>
      <c r="D1541" s="464" t="s">
        <v>2758</v>
      </c>
      <c r="E1541" s="708" t="s">
        <v>2759</v>
      </c>
      <c r="F1541" s="466" t="s">
        <v>2755</v>
      </c>
      <c r="G1541" s="518" t="s">
        <v>5134</v>
      </c>
      <c r="H1541" s="477">
        <v>45192</v>
      </c>
      <c r="I1541" s="473">
        <f>K1541/1.11</f>
        <v>5741729.7297297288</v>
      </c>
      <c r="J1541" s="473">
        <f>I1541*11%</f>
        <v>631590.27027027018</v>
      </c>
      <c r="K1541" s="474">
        <v>6373320</v>
      </c>
      <c r="L1541" s="475"/>
    </row>
    <row r="1542" spans="1:12 16384:16384" s="520" customFormat="1" x14ac:dyDescent="0.2">
      <c r="A1542" s="517">
        <v>21</v>
      </c>
      <c r="B1542" s="485" t="s">
        <v>1870</v>
      </c>
      <c r="C1542" s="476" t="s">
        <v>6386</v>
      </c>
      <c r="D1542" s="464" t="s">
        <v>2783</v>
      </c>
      <c r="E1542" s="465" t="s">
        <v>2784</v>
      </c>
      <c r="F1542" s="466" t="s">
        <v>2785</v>
      </c>
      <c r="G1542" s="518" t="s">
        <v>5130</v>
      </c>
      <c r="H1542" s="477">
        <v>45195</v>
      </c>
      <c r="I1542" s="488">
        <f t="shared" si="61"/>
        <v>3609729.7297297292</v>
      </c>
      <c r="J1542" s="488">
        <f t="shared" si="62"/>
        <v>397070.27027027024</v>
      </c>
      <c r="K1542" s="474">
        <v>4006800</v>
      </c>
      <c r="L1542" s="475"/>
    </row>
    <row r="1543" spans="1:12 16384:16384" s="520" customFormat="1" x14ac:dyDescent="0.2">
      <c r="A1543" s="517">
        <v>22</v>
      </c>
      <c r="B1543" s="469" t="s">
        <v>1871</v>
      </c>
      <c r="C1543" s="476" t="s">
        <v>6387</v>
      </c>
      <c r="D1543" s="464" t="s">
        <v>2849</v>
      </c>
      <c r="E1543" s="471" t="s">
        <v>2850</v>
      </c>
      <c r="F1543" s="471" t="s">
        <v>2851</v>
      </c>
      <c r="G1543" s="518" t="s">
        <v>5131</v>
      </c>
      <c r="H1543" s="477">
        <v>45195</v>
      </c>
      <c r="I1543" s="473">
        <f t="shared" si="61"/>
        <v>1554085.5855855856</v>
      </c>
      <c r="J1543" s="473">
        <f t="shared" si="62"/>
        <v>170949.41441441441</v>
      </c>
      <c r="K1543" s="474">
        <v>1725035</v>
      </c>
      <c r="L1543" s="475"/>
    </row>
    <row r="1544" spans="1:12 16384:16384" s="520" customFormat="1" x14ac:dyDescent="0.2">
      <c r="A1544" s="517">
        <v>23</v>
      </c>
      <c r="B1544" s="485" t="s">
        <v>1872</v>
      </c>
      <c r="C1544" s="476" t="s">
        <v>6391</v>
      </c>
      <c r="D1544" s="487" t="s">
        <v>2790</v>
      </c>
      <c r="E1544" s="503" t="s">
        <v>2791</v>
      </c>
      <c r="F1544" s="504" t="s">
        <v>2792</v>
      </c>
      <c r="G1544" s="518" t="s">
        <v>5132</v>
      </c>
      <c r="H1544" s="477">
        <v>45196</v>
      </c>
      <c r="I1544" s="488">
        <f t="shared" si="61"/>
        <v>968855.85585585574</v>
      </c>
      <c r="J1544" s="488">
        <f t="shared" si="62"/>
        <v>106574.14414414413</v>
      </c>
      <c r="K1544" s="474">
        <v>1075430</v>
      </c>
      <c r="L1544" s="475"/>
    </row>
    <row r="1545" spans="1:12 16384:16384" s="520" customFormat="1" x14ac:dyDescent="0.2">
      <c r="A1545" s="517">
        <v>24</v>
      </c>
      <c r="B1545" s="469" t="s">
        <v>1873</v>
      </c>
      <c r="C1545" s="476" t="s">
        <v>6392</v>
      </c>
      <c r="D1545" s="725" t="s">
        <v>3302</v>
      </c>
      <c r="E1545" s="708" t="s">
        <v>3303</v>
      </c>
      <c r="F1545" s="727" t="s">
        <v>2873</v>
      </c>
      <c r="G1545" s="518" t="s">
        <v>5133</v>
      </c>
      <c r="H1545" s="477">
        <v>45196</v>
      </c>
      <c r="I1545" s="473">
        <f t="shared" si="61"/>
        <v>2072432.4324324322</v>
      </c>
      <c r="J1545" s="473">
        <f t="shared" si="62"/>
        <v>227967.56756756754</v>
      </c>
      <c r="K1545" s="474">
        <v>2300400</v>
      </c>
      <c r="L1545" s="475"/>
    </row>
    <row r="1546" spans="1:12 16384:16384" s="520" customFormat="1" x14ac:dyDescent="0.2">
      <c r="A1546" s="517">
        <v>25</v>
      </c>
      <c r="B1546" s="469" t="s">
        <v>1861</v>
      </c>
      <c r="C1546" s="476" t="s">
        <v>6399</v>
      </c>
      <c r="D1546" s="464" t="s">
        <v>2758</v>
      </c>
      <c r="E1546" s="708" t="s">
        <v>2759</v>
      </c>
      <c r="F1546" s="466" t="s">
        <v>2755</v>
      </c>
      <c r="G1546" s="518" t="s">
        <v>5129</v>
      </c>
      <c r="H1546" s="477">
        <v>45184</v>
      </c>
      <c r="I1546" s="488">
        <f t="shared" ref="I1546:I1550" si="63">K1546/1.11</f>
        <v>4443762.1621621614</v>
      </c>
      <c r="J1546" s="488">
        <f>I1546*11%</f>
        <v>488813.83783783775</v>
      </c>
      <c r="K1546" s="474">
        <v>4932576</v>
      </c>
      <c r="L1546" s="475"/>
    </row>
    <row r="1547" spans="1:12 16384:16384" s="521" customFormat="1" x14ac:dyDescent="0.2">
      <c r="A1547" s="517">
        <v>26</v>
      </c>
      <c r="B1547" s="485" t="s">
        <v>6409</v>
      </c>
      <c r="C1547" s="476" t="s">
        <v>6410</v>
      </c>
      <c r="D1547" s="464" t="s">
        <v>2783</v>
      </c>
      <c r="E1547" s="465" t="s">
        <v>2784</v>
      </c>
      <c r="F1547" s="466" t="s">
        <v>2785</v>
      </c>
      <c r="G1547" s="518" t="s">
        <v>5135</v>
      </c>
      <c r="H1547" s="477">
        <v>45199</v>
      </c>
      <c r="I1547" s="488">
        <f t="shared" si="63"/>
        <v>7855135.1351351347</v>
      </c>
      <c r="J1547" s="488">
        <f t="shared" si="62"/>
        <v>864064.86486486485</v>
      </c>
      <c r="K1547" s="474">
        <v>8719200</v>
      </c>
      <c r="L1547" s="475"/>
    </row>
    <row r="1548" spans="1:12 16384:16384" s="521" customFormat="1" x14ac:dyDescent="0.2">
      <c r="A1548" s="517">
        <v>27</v>
      </c>
      <c r="B1548" s="469" t="s">
        <v>1874</v>
      </c>
      <c r="C1548" s="476" t="s">
        <v>6411</v>
      </c>
      <c r="D1548" s="464"/>
      <c r="E1548" s="471" t="s">
        <v>2991</v>
      </c>
      <c r="F1548" s="471" t="s">
        <v>2886</v>
      </c>
      <c r="G1548" s="466"/>
      <c r="H1548" s="477">
        <v>45173</v>
      </c>
      <c r="I1548" s="473">
        <f t="shared" si="63"/>
        <v>1811675.6756756755</v>
      </c>
      <c r="J1548" s="473">
        <f t="shared" si="62"/>
        <v>199284.32432432432</v>
      </c>
      <c r="K1548" s="474">
        <v>2010960</v>
      </c>
      <c r="L1548" s="475"/>
    </row>
    <row r="1549" spans="1:12 16384:16384" s="521" customFormat="1" x14ac:dyDescent="0.2">
      <c r="A1549" s="517">
        <v>28</v>
      </c>
      <c r="B1549" s="485" t="s">
        <v>1875</v>
      </c>
      <c r="C1549" s="476" t="s">
        <v>6464</v>
      </c>
      <c r="D1549" s="487"/>
      <c r="E1549" s="503" t="s">
        <v>2907</v>
      </c>
      <c r="F1549" s="504" t="s">
        <v>2908</v>
      </c>
      <c r="G1549" s="466"/>
      <c r="H1549" s="477">
        <v>45174</v>
      </c>
      <c r="I1549" s="488">
        <f t="shared" si="63"/>
        <v>6547915.3153153146</v>
      </c>
      <c r="J1549" s="488">
        <f t="shared" si="62"/>
        <v>720270.68468468462</v>
      </c>
      <c r="K1549" s="474">
        <f>395010+4721312+2151864</f>
        <v>7268186</v>
      </c>
      <c r="L1549" s="475"/>
    </row>
    <row r="1550" spans="1:12 16384:16384" s="521" customFormat="1" x14ac:dyDescent="0.2">
      <c r="A1550" s="517">
        <v>29</v>
      </c>
      <c r="B1550" s="469" t="s">
        <v>1876</v>
      </c>
      <c r="C1550" s="476" t="s">
        <v>6494</v>
      </c>
      <c r="D1550" s="464"/>
      <c r="E1550" s="465" t="s">
        <v>2945</v>
      </c>
      <c r="F1550" s="466" t="s">
        <v>2946</v>
      </c>
      <c r="G1550" s="466"/>
      <c r="H1550" s="477">
        <v>45174</v>
      </c>
      <c r="I1550" s="473">
        <f t="shared" si="63"/>
        <v>7846589.1891891882</v>
      </c>
      <c r="J1550" s="473">
        <f t="shared" si="62"/>
        <v>863124.81081081065</v>
      </c>
      <c r="K1550" s="474">
        <f>2781144+4688820+1239750</f>
        <v>8709714</v>
      </c>
      <c r="L1550" s="475"/>
    </row>
    <row r="1551" spans="1:12 16384:16384" s="521" customFormat="1" x14ac:dyDescent="0.2">
      <c r="A1551" s="517">
        <v>30</v>
      </c>
      <c r="B1551" s="485" t="s">
        <v>1877</v>
      </c>
      <c r="C1551" s="476" t="s">
        <v>6458</v>
      </c>
      <c r="D1551" s="464"/>
      <c r="E1551" s="465" t="s">
        <v>2921</v>
      </c>
      <c r="F1551" s="466" t="s">
        <v>2922</v>
      </c>
      <c r="G1551" s="466"/>
      <c r="H1551" s="477">
        <v>45175</v>
      </c>
      <c r="I1551" s="488">
        <f t="shared" si="61"/>
        <v>1058813.5135135134</v>
      </c>
      <c r="J1551" s="488">
        <f t="shared" si="62"/>
        <v>116469.48648648646</v>
      </c>
      <c r="K1551" s="474">
        <f>137484+1037799</f>
        <v>1175283</v>
      </c>
      <c r="L1551" s="475"/>
    </row>
    <row r="1552" spans="1:12 16384:16384" s="521" customFormat="1" x14ac:dyDescent="0.2">
      <c r="A1552" s="517">
        <v>31</v>
      </c>
      <c r="B1552" s="469" t="s">
        <v>1878</v>
      </c>
      <c r="C1552" s="476" t="s">
        <v>6412</v>
      </c>
      <c r="D1552" s="464"/>
      <c r="E1552" s="471" t="s">
        <v>2962</v>
      </c>
      <c r="F1552" s="471" t="s">
        <v>2908</v>
      </c>
      <c r="G1552" s="466"/>
      <c r="H1552" s="477">
        <v>45175</v>
      </c>
      <c r="I1552" s="473">
        <f t="shared" si="61"/>
        <v>539189.18918918911</v>
      </c>
      <c r="J1552" s="473">
        <f t="shared" si="62"/>
        <v>59310.810810810806</v>
      </c>
      <c r="K1552" s="474">
        <v>598500</v>
      </c>
      <c r="L1552" s="475"/>
    </row>
    <row r="1553" spans="1:12" s="521" customFormat="1" x14ac:dyDescent="0.2">
      <c r="A1553" s="517">
        <v>32</v>
      </c>
      <c r="B1553" s="485" t="s">
        <v>1879</v>
      </c>
      <c r="C1553" s="476" t="s">
        <v>6413</v>
      </c>
      <c r="D1553" s="464"/>
      <c r="E1553" s="465" t="s">
        <v>3130</v>
      </c>
      <c r="F1553" s="466" t="s">
        <v>2873</v>
      </c>
      <c r="G1553" s="466"/>
      <c r="H1553" s="477">
        <v>45176</v>
      </c>
      <c r="I1553" s="488">
        <f t="shared" si="61"/>
        <v>4600310.81081081</v>
      </c>
      <c r="J1553" s="488">
        <f t="shared" si="62"/>
        <v>506034.18918918911</v>
      </c>
      <c r="K1553" s="474">
        <v>5106345</v>
      </c>
      <c r="L1553" s="478"/>
    </row>
    <row r="1554" spans="1:12" s="521" customFormat="1" x14ac:dyDescent="0.2">
      <c r="A1554" s="517">
        <v>33</v>
      </c>
      <c r="B1554" s="469" t="s">
        <v>1880</v>
      </c>
      <c r="C1554" s="476" t="s">
        <v>6522</v>
      </c>
      <c r="D1554" s="464"/>
      <c r="E1554" s="465" t="s">
        <v>2956</v>
      </c>
      <c r="F1554" s="466" t="s">
        <v>2755</v>
      </c>
      <c r="G1554" s="466"/>
      <c r="H1554" s="477">
        <v>45177</v>
      </c>
      <c r="I1554" s="473">
        <f t="shared" si="61"/>
        <v>491278.37837837834</v>
      </c>
      <c r="J1554" s="473">
        <f t="shared" si="62"/>
        <v>54040.62162162162</v>
      </c>
      <c r="K1554" s="474">
        <f>332424+212895</f>
        <v>545319</v>
      </c>
      <c r="L1554" s="475"/>
    </row>
    <row r="1555" spans="1:12" s="521" customFormat="1" x14ac:dyDescent="0.2">
      <c r="A1555" s="517">
        <v>34</v>
      </c>
      <c r="B1555" s="485" t="s">
        <v>1881</v>
      </c>
      <c r="C1555" s="476" t="s">
        <v>6455</v>
      </c>
      <c r="D1555" s="464"/>
      <c r="E1555" s="471" t="s">
        <v>3527</v>
      </c>
      <c r="F1555" s="471" t="s">
        <v>2922</v>
      </c>
      <c r="G1555" s="466"/>
      <c r="H1555" s="477">
        <v>45177</v>
      </c>
      <c r="I1555" s="488">
        <f t="shared" si="61"/>
        <v>6322378.3783783782</v>
      </c>
      <c r="J1555" s="488">
        <f t="shared" si="62"/>
        <v>695461.62162162166</v>
      </c>
      <c r="K1555" s="474">
        <f>2437776+4580064</f>
        <v>7017840</v>
      </c>
      <c r="L1555" s="475"/>
    </row>
    <row r="1556" spans="1:12" s="521" customFormat="1" x14ac:dyDescent="0.2">
      <c r="A1556" s="517">
        <v>35</v>
      </c>
      <c r="B1556" s="469" t="s">
        <v>1882</v>
      </c>
      <c r="C1556" s="476" t="s">
        <v>6656</v>
      </c>
      <c r="D1556" s="464"/>
      <c r="E1556" s="465" t="s">
        <v>5201</v>
      </c>
      <c r="F1556" s="466" t="s">
        <v>3047</v>
      </c>
      <c r="G1556" s="466"/>
      <c r="H1556" s="477">
        <v>45178</v>
      </c>
      <c r="I1556" s="473">
        <f t="shared" si="61"/>
        <v>1895765.7657657657</v>
      </c>
      <c r="J1556" s="473">
        <f t="shared" si="62"/>
        <v>208534.23423423423</v>
      </c>
      <c r="K1556" s="474">
        <f>1939300+165000</f>
        <v>2104300</v>
      </c>
      <c r="L1556" s="475"/>
    </row>
    <row r="1557" spans="1:12" s="521" customFormat="1" x14ac:dyDescent="0.2">
      <c r="A1557" s="517">
        <v>36</v>
      </c>
      <c r="B1557" s="485" t="s">
        <v>1883</v>
      </c>
      <c r="C1557" s="476" t="s">
        <v>6477</v>
      </c>
      <c r="D1557" s="464"/>
      <c r="E1557" s="465" t="s">
        <v>3533</v>
      </c>
      <c r="F1557" s="466" t="s">
        <v>2922</v>
      </c>
      <c r="G1557" s="466"/>
      <c r="H1557" s="477">
        <v>45182</v>
      </c>
      <c r="I1557" s="488">
        <f t="shared" si="61"/>
        <v>1661010.8108108107</v>
      </c>
      <c r="J1557" s="488">
        <f t="shared" si="62"/>
        <v>182711.18918918917</v>
      </c>
      <c r="K1557" s="474">
        <f>800280+1043442</f>
        <v>1843722</v>
      </c>
      <c r="L1557" s="475"/>
    </row>
    <row r="1558" spans="1:12" s="521" customFormat="1" x14ac:dyDescent="0.2">
      <c r="A1558" s="517">
        <v>37</v>
      </c>
      <c r="B1558" s="469" t="s">
        <v>1884</v>
      </c>
      <c r="C1558" s="476" t="s">
        <v>6414</v>
      </c>
      <c r="D1558" s="464"/>
      <c r="E1558" s="471" t="s">
        <v>5796</v>
      </c>
      <c r="F1558" s="471" t="s">
        <v>2755</v>
      </c>
      <c r="G1558" s="466"/>
      <c r="H1558" s="477">
        <v>45175</v>
      </c>
      <c r="I1558" s="473">
        <f t="shared" si="61"/>
        <v>9210810.81081081</v>
      </c>
      <c r="J1558" s="473">
        <f t="shared" si="62"/>
        <v>1013189.1891891891</v>
      </c>
      <c r="K1558" s="474">
        <v>10224000</v>
      </c>
      <c r="L1558" s="475"/>
    </row>
    <row r="1559" spans="1:12" s="521" customFormat="1" x14ac:dyDescent="0.2">
      <c r="A1559" s="517">
        <v>38</v>
      </c>
      <c r="B1559" s="485" t="s">
        <v>1885</v>
      </c>
      <c r="C1559" s="476" t="s">
        <v>6453</v>
      </c>
      <c r="D1559" s="464"/>
      <c r="E1559" s="465" t="s">
        <v>2948</v>
      </c>
      <c r="F1559" s="466" t="s">
        <v>2892</v>
      </c>
      <c r="G1559" s="466"/>
      <c r="H1559" s="477">
        <v>45175</v>
      </c>
      <c r="I1559" s="488">
        <f t="shared" si="61"/>
        <v>5405910.81081081</v>
      </c>
      <c r="J1559" s="488">
        <f t="shared" si="62"/>
        <v>594650.18918918911</v>
      </c>
      <c r="K1559" s="474">
        <f>2659392+2605869+735300</f>
        <v>6000561</v>
      </c>
      <c r="L1559" s="475"/>
    </row>
    <row r="1560" spans="1:12" s="521" customFormat="1" x14ac:dyDescent="0.2">
      <c r="A1560" s="517">
        <v>39</v>
      </c>
      <c r="B1560" s="469" t="s">
        <v>1886</v>
      </c>
      <c r="C1560" s="476" t="s">
        <v>6456</v>
      </c>
      <c r="D1560" s="487"/>
      <c r="E1560" s="503" t="s">
        <v>2907</v>
      </c>
      <c r="F1560" s="504" t="s">
        <v>2858</v>
      </c>
      <c r="G1560" s="466"/>
      <c r="H1560" s="477">
        <v>45175</v>
      </c>
      <c r="I1560" s="473">
        <f t="shared" si="61"/>
        <v>12174891.891891891</v>
      </c>
      <c r="J1560" s="473">
        <f t="shared" si="62"/>
        <v>1339238.1081081079</v>
      </c>
      <c r="K1560" s="474">
        <f>5336910+3313980+4863240</f>
        <v>13514130</v>
      </c>
      <c r="L1560" s="475"/>
    </row>
    <row r="1561" spans="1:12" s="521" customFormat="1" x14ac:dyDescent="0.2">
      <c r="A1561" s="517">
        <v>40</v>
      </c>
      <c r="B1561" s="485" t="s">
        <v>1887</v>
      </c>
      <c r="C1561" s="476" t="s">
        <v>6486</v>
      </c>
      <c r="D1561" s="464"/>
      <c r="E1561" s="471" t="s">
        <v>3085</v>
      </c>
      <c r="F1561" s="471" t="s">
        <v>2982</v>
      </c>
      <c r="G1561" s="466"/>
      <c r="H1561" s="477">
        <v>45178</v>
      </c>
      <c r="I1561" s="488">
        <f t="shared" si="61"/>
        <v>9957742.3423423413</v>
      </c>
      <c r="J1561" s="488">
        <f t="shared" si="62"/>
        <v>1095351.6576576575</v>
      </c>
      <c r="K1561" s="474">
        <f>1378944+9047750+626400</f>
        <v>11053094</v>
      </c>
      <c r="L1561" s="475"/>
    </row>
    <row r="1562" spans="1:12" s="521" customFormat="1" x14ac:dyDescent="0.2">
      <c r="A1562" s="517">
        <v>41</v>
      </c>
      <c r="B1562" s="469" t="s">
        <v>1888</v>
      </c>
      <c r="C1562" s="476" t="s">
        <v>6460</v>
      </c>
      <c r="D1562" s="464"/>
      <c r="E1562" s="465" t="s">
        <v>2914</v>
      </c>
      <c r="F1562" s="466" t="s">
        <v>2915</v>
      </c>
      <c r="G1562" s="466"/>
      <c r="H1562" s="477">
        <v>45176</v>
      </c>
      <c r="I1562" s="473">
        <f t="shared" si="61"/>
        <v>5369476.5765765766</v>
      </c>
      <c r="J1562" s="473">
        <f t="shared" si="62"/>
        <v>590642.42342342343</v>
      </c>
      <c r="K1562" s="474">
        <f>1372788+939816+3647515</f>
        <v>5960119</v>
      </c>
      <c r="L1562" s="475"/>
    </row>
    <row r="1563" spans="1:12" s="521" customFormat="1" x14ac:dyDescent="0.2">
      <c r="A1563" s="517">
        <v>42</v>
      </c>
      <c r="B1563" s="485" t="s">
        <v>1889</v>
      </c>
      <c r="C1563" s="476" t="s">
        <v>6415</v>
      </c>
      <c r="D1563" s="464"/>
      <c r="E1563" s="465" t="s">
        <v>3156</v>
      </c>
      <c r="F1563" s="466" t="s">
        <v>2912</v>
      </c>
      <c r="G1563" s="466"/>
      <c r="H1563" s="477">
        <v>45175</v>
      </c>
      <c r="I1563" s="488">
        <f t="shared" si="61"/>
        <v>809999.99999999988</v>
      </c>
      <c r="J1563" s="488">
        <f t="shared" si="62"/>
        <v>89099.999999999985</v>
      </c>
      <c r="K1563" s="474">
        <v>899100</v>
      </c>
      <c r="L1563" s="475"/>
    </row>
    <row r="1564" spans="1:12" x14ac:dyDescent="0.2">
      <c r="A1564" s="517">
        <v>43</v>
      </c>
      <c r="B1564" s="469" t="s">
        <v>1890</v>
      </c>
      <c r="C1564" s="476" t="s">
        <v>6454</v>
      </c>
      <c r="D1564" s="464"/>
      <c r="E1564" s="465" t="s">
        <v>2927</v>
      </c>
      <c r="F1564" s="466" t="s">
        <v>2928</v>
      </c>
      <c r="G1564" s="750"/>
      <c r="H1564" s="477">
        <v>45176</v>
      </c>
      <c r="I1564" s="473">
        <f t="shared" si="61"/>
        <v>4467721.6216216208</v>
      </c>
      <c r="J1564" s="473">
        <f t="shared" si="62"/>
        <v>491449.37837837829</v>
      </c>
      <c r="K1564" s="474">
        <f>2410587+2548584</f>
        <v>4959171</v>
      </c>
      <c r="L1564" s="475"/>
    </row>
    <row r="1565" spans="1:12" x14ac:dyDescent="0.2">
      <c r="A1565" s="517">
        <v>44</v>
      </c>
      <c r="B1565" s="485" t="s">
        <v>1891</v>
      </c>
      <c r="C1565" s="476" t="s">
        <v>6467</v>
      </c>
      <c r="D1565" s="464"/>
      <c r="E1565" s="465" t="s">
        <v>3164</v>
      </c>
      <c r="F1565" s="466" t="s">
        <v>2928</v>
      </c>
      <c r="G1565" s="750"/>
      <c r="H1565" s="477">
        <v>45176</v>
      </c>
      <c r="I1565" s="488">
        <f t="shared" si="61"/>
        <v>1511270.2702702701</v>
      </c>
      <c r="J1565" s="488">
        <f t="shared" si="62"/>
        <v>166239.7297297297</v>
      </c>
      <c r="K1565" s="474">
        <f>763344+914166</f>
        <v>1677510</v>
      </c>
      <c r="L1565" s="475"/>
    </row>
    <row r="1566" spans="1:12" x14ac:dyDescent="0.2">
      <c r="A1566" s="517">
        <v>45</v>
      </c>
      <c r="B1566" s="469" t="s">
        <v>1892</v>
      </c>
      <c r="C1566" s="476" t="s">
        <v>6416</v>
      </c>
      <c r="D1566" s="464"/>
      <c r="E1566" s="465" t="s">
        <v>4000</v>
      </c>
      <c r="F1566" s="466" t="s">
        <v>4001</v>
      </c>
      <c r="G1566" s="750"/>
      <c r="H1566" s="477">
        <v>45177</v>
      </c>
      <c r="I1566" s="473">
        <f t="shared" si="61"/>
        <v>716351.35135135124</v>
      </c>
      <c r="J1566" s="473">
        <f t="shared" si="62"/>
        <v>78798.648648648639</v>
      </c>
      <c r="K1566" s="474">
        <v>795150</v>
      </c>
      <c r="L1566" s="475"/>
    </row>
    <row r="1567" spans="1:12" x14ac:dyDescent="0.2">
      <c r="A1567" s="517">
        <v>46</v>
      </c>
      <c r="B1567" s="485" t="s">
        <v>1893</v>
      </c>
      <c r="C1567" s="476" t="s">
        <v>6417</v>
      </c>
      <c r="D1567" s="464"/>
      <c r="E1567" s="465" t="s">
        <v>3051</v>
      </c>
      <c r="F1567" s="466" t="s">
        <v>3052</v>
      </c>
      <c r="G1567" s="750"/>
      <c r="H1567" s="477">
        <v>45177</v>
      </c>
      <c r="I1567" s="488">
        <f t="shared" si="61"/>
        <v>1092672.9729729728</v>
      </c>
      <c r="J1567" s="488">
        <f t="shared" si="62"/>
        <v>120194.02702702701</v>
      </c>
      <c r="K1567" s="474">
        <v>1212867</v>
      </c>
      <c r="L1567" s="475"/>
    </row>
    <row r="1568" spans="1:12" x14ac:dyDescent="0.2">
      <c r="A1568" s="517">
        <v>47</v>
      </c>
      <c r="B1568" s="469" t="s">
        <v>1894</v>
      </c>
      <c r="C1568" s="476" t="s">
        <v>6491</v>
      </c>
      <c r="D1568" s="464"/>
      <c r="E1568" s="465" t="s">
        <v>2993</v>
      </c>
      <c r="F1568" s="466" t="s">
        <v>2994</v>
      </c>
      <c r="G1568" s="750"/>
      <c r="H1568" s="477">
        <v>45178</v>
      </c>
      <c r="I1568" s="473">
        <f t="shared" si="61"/>
        <v>6221472.9729729723</v>
      </c>
      <c r="J1568" s="473">
        <f t="shared" si="62"/>
        <v>684362.02702702698</v>
      </c>
      <c r="K1568" s="474">
        <f>2165715+1415880+3324240</f>
        <v>6905835</v>
      </c>
      <c r="L1568" s="475"/>
    </row>
    <row r="1569" spans="1:12" x14ac:dyDescent="0.2">
      <c r="A1569" s="517">
        <v>48</v>
      </c>
      <c r="B1569" s="485" t="s">
        <v>1895</v>
      </c>
      <c r="C1569" s="476" t="s">
        <v>6511</v>
      </c>
      <c r="D1569" s="464"/>
      <c r="E1569" s="465" t="s">
        <v>2974</v>
      </c>
      <c r="F1569" s="466" t="s">
        <v>2755</v>
      </c>
      <c r="G1569" s="750"/>
      <c r="H1569" s="477">
        <v>45177</v>
      </c>
      <c r="I1569" s="488">
        <f t="shared" si="61"/>
        <v>4933783.7837837832</v>
      </c>
      <c r="J1569" s="488">
        <f t="shared" si="62"/>
        <v>542716.21621621621</v>
      </c>
      <c r="K1569" s="474">
        <f>4212500+184000+1080000</f>
        <v>5476500</v>
      </c>
      <c r="L1569" s="475"/>
    </row>
    <row r="1570" spans="1:12" x14ac:dyDescent="0.2">
      <c r="A1570" s="517">
        <v>49</v>
      </c>
      <c r="B1570" s="469" t="s">
        <v>1896</v>
      </c>
      <c r="C1570" s="476" t="s">
        <v>6418</v>
      </c>
      <c r="D1570" s="464"/>
      <c r="E1570" s="465" t="s">
        <v>2891</v>
      </c>
      <c r="F1570" s="466" t="s">
        <v>3047</v>
      </c>
      <c r="G1570" s="750"/>
      <c r="H1570" s="477">
        <v>45178</v>
      </c>
      <c r="I1570" s="473">
        <f t="shared" si="61"/>
        <v>855630.63063063053</v>
      </c>
      <c r="J1570" s="473">
        <f t="shared" si="62"/>
        <v>94119.369369369364</v>
      </c>
      <c r="K1570" s="474">
        <v>949750</v>
      </c>
      <c r="L1570" s="475"/>
    </row>
    <row r="1571" spans="1:12" x14ac:dyDescent="0.2">
      <c r="A1571" s="517">
        <v>50</v>
      </c>
      <c r="B1571" s="485" t="s">
        <v>1897</v>
      </c>
      <c r="C1571" s="476" t="s">
        <v>6461</v>
      </c>
      <c r="D1571" s="464"/>
      <c r="E1571" s="465" t="s">
        <v>2939</v>
      </c>
      <c r="F1571" s="466" t="s">
        <v>2940</v>
      </c>
      <c r="G1571" s="750"/>
      <c r="H1571" s="477">
        <v>45180</v>
      </c>
      <c r="I1571" s="488">
        <f t="shared" si="61"/>
        <v>5179897.297297297</v>
      </c>
      <c r="J1571" s="488">
        <f t="shared" si="62"/>
        <v>569788.70270270272</v>
      </c>
      <c r="K1571" s="474">
        <f>785556+2031480+2932650</f>
        <v>5749686</v>
      </c>
      <c r="L1571" s="475"/>
    </row>
    <row r="1572" spans="1:12" x14ac:dyDescent="0.2">
      <c r="A1572" s="517">
        <v>51</v>
      </c>
      <c r="B1572" s="469" t="s">
        <v>1898</v>
      </c>
      <c r="C1572" s="476" t="s">
        <v>6419</v>
      </c>
      <c r="D1572" s="464"/>
      <c r="E1572" s="465" t="s">
        <v>3907</v>
      </c>
      <c r="F1572" s="466" t="s">
        <v>2873</v>
      </c>
      <c r="G1572" s="750"/>
      <c r="H1572" s="477">
        <v>45178</v>
      </c>
      <c r="I1572" s="473">
        <f t="shared" si="61"/>
        <v>515454.05405405402</v>
      </c>
      <c r="J1572" s="473">
        <f t="shared" si="62"/>
        <v>56699.945945945939</v>
      </c>
      <c r="K1572" s="474">
        <v>572154</v>
      </c>
      <c r="L1572" s="475"/>
    </row>
    <row r="1573" spans="1:12" x14ac:dyDescent="0.2">
      <c r="A1573" s="517">
        <v>52</v>
      </c>
      <c r="B1573" s="485" t="s">
        <v>1899</v>
      </c>
      <c r="C1573" s="476" t="s">
        <v>6420</v>
      </c>
      <c r="D1573" s="464"/>
      <c r="E1573" s="471" t="s">
        <v>3141</v>
      </c>
      <c r="F1573" s="471" t="s">
        <v>2873</v>
      </c>
      <c r="G1573" s="750"/>
      <c r="H1573" s="472">
        <v>45180</v>
      </c>
      <c r="I1573" s="488">
        <f t="shared" si="61"/>
        <v>191335.13513513512</v>
      </c>
      <c r="J1573" s="488">
        <f t="shared" si="62"/>
        <v>21046.864864864863</v>
      </c>
      <c r="K1573" s="474">
        <v>212382</v>
      </c>
      <c r="L1573" s="475" t="s">
        <v>3145</v>
      </c>
    </row>
    <row r="1574" spans="1:12" x14ac:dyDescent="0.2">
      <c r="A1574" s="517">
        <v>53</v>
      </c>
      <c r="B1574" s="469" t="s">
        <v>1900</v>
      </c>
      <c r="C1574" s="476" t="s">
        <v>6421</v>
      </c>
      <c r="D1574" s="464"/>
      <c r="E1574" s="465" t="s">
        <v>2984</v>
      </c>
      <c r="F1574" s="466" t="s">
        <v>2873</v>
      </c>
      <c r="G1574" s="750"/>
      <c r="H1574" s="477">
        <v>45180</v>
      </c>
      <c r="I1574" s="473">
        <f t="shared" si="61"/>
        <v>1414608.1081081079</v>
      </c>
      <c r="J1574" s="473">
        <f t="shared" si="62"/>
        <v>155606.89189189186</v>
      </c>
      <c r="K1574" s="474">
        <v>1570215</v>
      </c>
      <c r="L1574" s="475"/>
    </row>
    <row r="1575" spans="1:12" x14ac:dyDescent="0.2">
      <c r="A1575" s="517">
        <v>54</v>
      </c>
      <c r="B1575" s="485" t="s">
        <v>1901</v>
      </c>
      <c r="C1575" s="476" t="s">
        <v>6422</v>
      </c>
      <c r="D1575" s="464"/>
      <c r="E1575" s="465" t="s">
        <v>3915</v>
      </c>
      <c r="F1575" s="466" t="s">
        <v>2912</v>
      </c>
      <c r="G1575" s="750"/>
      <c r="H1575" s="477">
        <v>45180</v>
      </c>
      <c r="I1575" s="488">
        <f t="shared" si="61"/>
        <v>1200000</v>
      </c>
      <c r="J1575" s="488">
        <f t="shared" si="62"/>
        <v>132000</v>
      </c>
      <c r="K1575" s="474">
        <v>1332000</v>
      </c>
      <c r="L1575" s="475"/>
    </row>
    <row r="1576" spans="1:12" x14ac:dyDescent="0.2">
      <c r="A1576" s="517">
        <v>55</v>
      </c>
      <c r="B1576" s="469" t="s">
        <v>1902</v>
      </c>
      <c r="C1576" s="476" t="s">
        <v>6485</v>
      </c>
      <c r="D1576" s="464"/>
      <c r="E1576" s="479" t="s">
        <v>2895</v>
      </c>
      <c r="F1576" s="466" t="s">
        <v>2890</v>
      </c>
      <c r="G1576" s="750"/>
      <c r="H1576" s="477">
        <v>45173</v>
      </c>
      <c r="I1576" s="473">
        <f t="shared" si="61"/>
        <v>11409705.405405404</v>
      </c>
      <c r="J1576" s="473">
        <f t="shared" si="62"/>
        <v>1255067.5945945946</v>
      </c>
      <c r="K1576" s="474">
        <f>3213432+9451341</f>
        <v>12664773</v>
      </c>
      <c r="L1576" s="475"/>
    </row>
    <row r="1577" spans="1:12" x14ac:dyDescent="0.2">
      <c r="A1577" s="517">
        <v>56</v>
      </c>
      <c r="B1577" s="485" t="s">
        <v>1903</v>
      </c>
      <c r="C1577" s="476" t="s">
        <v>6449</v>
      </c>
      <c r="D1577" s="464"/>
      <c r="E1577" s="465" t="s">
        <v>3461</v>
      </c>
      <c r="F1577" s="466" t="s">
        <v>2890</v>
      </c>
      <c r="G1577" s="750"/>
      <c r="H1577" s="477">
        <v>45173</v>
      </c>
      <c r="I1577" s="488">
        <f t="shared" si="61"/>
        <v>2894983.7837837837</v>
      </c>
      <c r="J1577" s="488">
        <f t="shared" si="62"/>
        <v>318448.21621621621</v>
      </c>
      <c r="K1577" s="474">
        <v>3213432</v>
      </c>
      <c r="L1577" s="475"/>
    </row>
    <row r="1578" spans="1:12" x14ac:dyDescent="0.2">
      <c r="A1578" s="517">
        <v>57</v>
      </c>
      <c r="B1578" s="469" t="s">
        <v>1904</v>
      </c>
      <c r="C1578" s="476" t="s">
        <v>6490</v>
      </c>
      <c r="D1578" s="464"/>
      <c r="E1578" s="465" t="s">
        <v>2934</v>
      </c>
      <c r="F1578" s="466" t="s">
        <v>2935</v>
      </c>
      <c r="G1578" s="750"/>
      <c r="H1578" s="477">
        <v>45173</v>
      </c>
      <c r="I1578" s="473">
        <f t="shared" si="61"/>
        <v>9248789.1891891882</v>
      </c>
      <c r="J1578" s="473">
        <f t="shared" si="62"/>
        <v>1017366.8108108107</v>
      </c>
      <c r="K1578" s="474">
        <f>4432320+2557818+3276018</f>
        <v>10266156</v>
      </c>
      <c r="L1578" s="475"/>
    </row>
    <row r="1579" spans="1:12" x14ac:dyDescent="0.2">
      <c r="A1579" s="517">
        <v>58</v>
      </c>
      <c r="B1579" s="485" t="s">
        <v>1905</v>
      </c>
      <c r="C1579" s="476" t="s">
        <v>6457</v>
      </c>
      <c r="D1579" s="464"/>
      <c r="E1579" s="465" t="s">
        <v>3112</v>
      </c>
      <c r="F1579" s="466" t="s">
        <v>2955</v>
      </c>
      <c r="G1579" s="750"/>
      <c r="H1579" s="477">
        <v>45174</v>
      </c>
      <c r="I1579" s="488">
        <f t="shared" si="61"/>
        <v>4046691.8918918916</v>
      </c>
      <c r="J1579" s="488">
        <f t="shared" si="62"/>
        <v>445136.10810810811</v>
      </c>
      <c r="K1579" s="474">
        <f>1214784+2548584+728460</f>
        <v>4491828</v>
      </c>
      <c r="L1579" s="475"/>
    </row>
    <row r="1580" spans="1:12" x14ac:dyDescent="0.2">
      <c r="A1580" s="517">
        <v>59</v>
      </c>
      <c r="B1580" s="469" t="s">
        <v>1906</v>
      </c>
      <c r="C1580" s="476" t="s">
        <v>6465</v>
      </c>
      <c r="D1580" s="464"/>
      <c r="E1580" s="465" t="s">
        <v>2954</v>
      </c>
      <c r="F1580" s="466" t="s">
        <v>2955</v>
      </c>
      <c r="G1580" s="750"/>
      <c r="H1580" s="477">
        <v>45174</v>
      </c>
      <c r="I1580" s="473">
        <f t="shared" si="61"/>
        <v>8507018.9189189188</v>
      </c>
      <c r="J1580" s="473">
        <f t="shared" si="62"/>
        <v>935772.08108108107</v>
      </c>
      <c r="K1580" s="474">
        <f>2093040+1428705+5921046</f>
        <v>9442791</v>
      </c>
      <c r="L1580" s="475"/>
    </row>
    <row r="1581" spans="1:12" x14ac:dyDescent="0.2">
      <c r="A1581" s="517">
        <v>60</v>
      </c>
      <c r="B1581" s="485" t="s">
        <v>1907</v>
      </c>
      <c r="C1581" s="476" t="s">
        <v>6495</v>
      </c>
      <c r="D1581" s="464"/>
      <c r="E1581" s="465" t="s">
        <v>2883</v>
      </c>
      <c r="F1581" s="466" t="s">
        <v>2884</v>
      </c>
      <c r="G1581" s="750"/>
      <c r="H1581" s="477">
        <v>45174</v>
      </c>
      <c r="I1581" s="488">
        <f t="shared" si="61"/>
        <v>3893495.4954954949</v>
      </c>
      <c r="J1581" s="488">
        <f t="shared" si="62"/>
        <v>428284.50450450444</v>
      </c>
      <c r="K1581" s="474">
        <f>1590300+2031480+700000</f>
        <v>4321780</v>
      </c>
      <c r="L1581" s="475"/>
    </row>
    <row r="1582" spans="1:12" x14ac:dyDescent="0.2">
      <c r="A1582" s="517">
        <v>61</v>
      </c>
      <c r="B1582" s="469" t="s">
        <v>1908</v>
      </c>
      <c r="C1582" s="476" t="s">
        <v>6463</v>
      </c>
      <c r="D1582" s="464"/>
      <c r="E1582" s="465" t="s">
        <v>6909</v>
      </c>
      <c r="F1582" s="466" t="s">
        <v>2886</v>
      </c>
      <c r="G1582" s="750"/>
      <c r="H1582" s="477">
        <v>45174</v>
      </c>
      <c r="I1582" s="473">
        <f t="shared" si="61"/>
        <v>6614464.8648648644</v>
      </c>
      <c r="J1582" s="473">
        <f t="shared" si="62"/>
        <v>727591.13513513503</v>
      </c>
      <c r="K1582" s="474">
        <f>1580040+2857410+2904606</f>
        <v>7342056</v>
      </c>
      <c r="L1582" s="475"/>
    </row>
    <row r="1583" spans="1:12" x14ac:dyDescent="0.2">
      <c r="A1583" s="517">
        <v>62</v>
      </c>
      <c r="B1583" s="485" t="s">
        <v>1909</v>
      </c>
      <c r="C1583" s="476" t="s">
        <v>6450</v>
      </c>
      <c r="D1583" s="464"/>
      <c r="E1583" s="465" t="s">
        <v>2891</v>
      </c>
      <c r="F1583" s="466" t="s">
        <v>2873</v>
      </c>
      <c r="G1583" s="750"/>
      <c r="H1583" s="477">
        <v>45178</v>
      </c>
      <c r="I1583" s="488">
        <f t="shared" si="61"/>
        <v>2771740.5405405401</v>
      </c>
      <c r="J1583" s="488">
        <f t="shared" si="62"/>
        <v>304891.45945945941</v>
      </c>
      <c r="K1583" s="474">
        <v>3076632</v>
      </c>
      <c r="L1583" s="475"/>
    </row>
    <row r="1584" spans="1:12" x14ac:dyDescent="0.2">
      <c r="A1584" s="517">
        <v>63</v>
      </c>
      <c r="B1584" s="469" t="s">
        <v>1910</v>
      </c>
      <c r="C1584" s="476" t="s">
        <v>6469</v>
      </c>
      <c r="D1584" s="464"/>
      <c r="E1584" s="465" t="s">
        <v>2907</v>
      </c>
      <c r="F1584" s="466" t="s">
        <v>2926</v>
      </c>
      <c r="G1584" s="750"/>
      <c r="H1584" s="477">
        <v>45178</v>
      </c>
      <c r="I1584" s="473">
        <f t="shared" si="61"/>
        <v>10966183.783783782</v>
      </c>
      <c r="J1584" s="473">
        <f t="shared" si="62"/>
        <v>1206280.2162162161</v>
      </c>
      <c r="K1584" s="474">
        <f>2833812+4801680+4536972</f>
        <v>12172464</v>
      </c>
      <c r="L1584" s="475"/>
    </row>
    <row r="1585" spans="1:12" x14ac:dyDescent="0.2">
      <c r="A1585" s="517">
        <v>64</v>
      </c>
      <c r="B1585" s="485" t="s">
        <v>1911</v>
      </c>
      <c r="C1585" s="476" t="s">
        <v>6512</v>
      </c>
      <c r="D1585" s="464"/>
      <c r="E1585" s="465" t="s">
        <v>2885</v>
      </c>
      <c r="F1585" s="466" t="s">
        <v>2886</v>
      </c>
      <c r="G1585" s="750"/>
      <c r="H1585" s="477">
        <v>45178</v>
      </c>
      <c r="I1585" s="488">
        <f t="shared" si="61"/>
        <v>2486689.1891891891</v>
      </c>
      <c r="J1585" s="488">
        <f t="shared" si="62"/>
        <v>273535.81081081083</v>
      </c>
      <c r="K1585" s="474">
        <f>1863216+285000+612009</f>
        <v>2760225</v>
      </c>
      <c r="L1585" s="475"/>
    </row>
    <row r="1586" spans="1:12" x14ac:dyDescent="0.2">
      <c r="A1586" s="517">
        <v>65</v>
      </c>
      <c r="B1586" s="469" t="s">
        <v>1912</v>
      </c>
      <c r="C1586" s="476" t="s">
        <v>6451</v>
      </c>
      <c r="D1586" s="464"/>
      <c r="E1586" s="465" t="s">
        <v>6452</v>
      </c>
      <c r="F1586" s="466" t="s">
        <v>2851</v>
      </c>
      <c r="G1586" s="750"/>
      <c r="H1586" s="477">
        <v>45180</v>
      </c>
      <c r="I1586" s="473">
        <f t="shared" si="61"/>
        <v>1166035.1351351351</v>
      </c>
      <c r="J1586" s="473">
        <f t="shared" si="62"/>
        <v>128263.86486486487</v>
      </c>
      <c r="K1586" s="474">
        <v>1294299</v>
      </c>
      <c r="L1586" s="475"/>
    </row>
    <row r="1587" spans="1:12" x14ac:dyDescent="0.2">
      <c r="A1587" s="517">
        <v>66</v>
      </c>
      <c r="B1587" s="485" t="s">
        <v>1913</v>
      </c>
      <c r="C1587" s="476" t="s">
        <v>6513</v>
      </c>
      <c r="D1587" s="464"/>
      <c r="E1587" s="465" t="s">
        <v>3538</v>
      </c>
      <c r="F1587" s="466" t="s">
        <v>2890</v>
      </c>
      <c r="G1587" s="464"/>
      <c r="H1587" s="477">
        <v>45180</v>
      </c>
      <c r="I1587" s="488">
        <f t="shared" ref="I1587:I1650" si="64">K1587/1.11</f>
        <v>4448310.81081081</v>
      </c>
      <c r="J1587" s="488">
        <f t="shared" ref="J1587:J1650" si="65">I1587*11%</f>
        <v>489314.18918918911</v>
      </c>
      <c r="K1587" s="474">
        <f>779760+2607750+1550115</f>
        <v>4937625</v>
      </c>
      <c r="L1587" s="475"/>
    </row>
    <row r="1588" spans="1:12" x14ac:dyDescent="0.2">
      <c r="A1588" s="517">
        <v>67</v>
      </c>
      <c r="B1588" s="469" t="s">
        <v>1914</v>
      </c>
      <c r="C1588" s="476" t="s">
        <v>6474</v>
      </c>
      <c r="D1588" s="464"/>
      <c r="E1588" s="465" t="s">
        <v>2878</v>
      </c>
      <c r="F1588" s="466" t="s">
        <v>2879</v>
      </c>
      <c r="G1588" s="464"/>
      <c r="H1588" s="477">
        <v>45180</v>
      </c>
      <c r="I1588" s="473">
        <f t="shared" si="64"/>
        <v>5192237.8378378376</v>
      </c>
      <c r="J1588" s="473">
        <f t="shared" si="65"/>
        <v>571146.16216216213</v>
      </c>
      <c r="K1588" s="474">
        <f>4010634+1752750</f>
        <v>5763384</v>
      </c>
      <c r="L1588" s="475"/>
    </row>
    <row r="1589" spans="1:12" x14ac:dyDescent="0.2">
      <c r="A1589" s="517">
        <v>68</v>
      </c>
      <c r="B1589" s="485" t="s">
        <v>1915</v>
      </c>
      <c r="C1589" s="476" t="s">
        <v>6546</v>
      </c>
      <c r="D1589" s="464"/>
      <c r="E1589" s="465" t="s">
        <v>3556</v>
      </c>
      <c r="F1589" s="466" t="s">
        <v>3061</v>
      </c>
      <c r="G1589" s="464"/>
      <c r="H1589" s="477">
        <v>45180</v>
      </c>
      <c r="I1589" s="488">
        <f t="shared" si="64"/>
        <v>6164318.9189189188</v>
      </c>
      <c r="J1589" s="488">
        <f t="shared" si="65"/>
        <v>678075.08108108107</v>
      </c>
      <c r="K1589" s="474">
        <f>1205550+5636844</f>
        <v>6842394</v>
      </c>
      <c r="L1589" s="475"/>
    </row>
    <row r="1590" spans="1:12" x14ac:dyDescent="0.2">
      <c r="A1590" s="517">
        <v>69</v>
      </c>
      <c r="B1590" s="469" t="s">
        <v>1916</v>
      </c>
      <c r="C1590" s="476" t="s">
        <v>6462</v>
      </c>
      <c r="D1590" s="464"/>
      <c r="E1590" s="465" t="s">
        <v>2936</v>
      </c>
      <c r="F1590" s="466" t="s">
        <v>2922</v>
      </c>
      <c r="G1590" s="464"/>
      <c r="H1590" s="477">
        <v>45180</v>
      </c>
      <c r="I1590" s="473">
        <f t="shared" si="64"/>
        <v>12222340.540540539</v>
      </c>
      <c r="J1590" s="473">
        <f t="shared" si="65"/>
        <v>1344457.4594594592</v>
      </c>
      <c r="K1590" s="474">
        <f>4903938+5183352+3479508</f>
        <v>13566798</v>
      </c>
      <c r="L1590" s="475"/>
    </row>
    <row r="1591" spans="1:12" x14ac:dyDescent="0.2">
      <c r="A1591" s="517">
        <v>70</v>
      </c>
      <c r="B1591" s="485" t="s">
        <v>1917</v>
      </c>
      <c r="C1591" s="476" t="s">
        <v>6478</v>
      </c>
      <c r="D1591" s="464"/>
      <c r="E1591" s="465" t="s">
        <v>3030</v>
      </c>
      <c r="F1591" s="466" t="s">
        <v>2892</v>
      </c>
      <c r="G1591" s="464"/>
      <c r="H1591" s="477">
        <v>45180</v>
      </c>
      <c r="I1591" s="488">
        <f t="shared" si="64"/>
        <v>4577518.9189189188</v>
      </c>
      <c r="J1591" s="488">
        <f t="shared" si="65"/>
        <v>503527.08108108107</v>
      </c>
      <c r="K1591" s="474">
        <f>1546296+1717524+1817226</f>
        <v>5081046</v>
      </c>
      <c r="L1591" s="475"/>
    </row>
    <row r="1592" spans="1:12" x14ac:dyDescent="0.2">
      <c r="A1592" s="517">
        <v>71</v>
      </c>
      <c r="B1592" s="469" t="s">
        <v>1918</v>
      </c>
      <c r="C1592" s="476" t="s">
        <v>6466</v>
      </c>
      <c r="D1592" s="464"/>
      <c r="E1592" s="465" t="s">
        <v>2907</v>
      </c>
      <c r="F1592" s="466" t="s">
        <v>2858</v>
      </c>
      <c r="G1592" s="464"/>
      <c r="H1592" s="477">
        <v>45181</v>
      </c>
      <c r="I1592" s="473">
        <f t="shared" si="64"/>
        <v>10936605.405405404</v>
      </c>
      <c r="J1592" s="473">
        <f t="shared" si="65"/>
        <v>1203026.5945945946</v>
      </c>
      <c r="K1592" s="474">
        <f>5798952+3816720+2523960</f>
        <v>12139632</v>
      </c>
      <c r="L1592" s="475"/>
    </row>
    <row r="1593" spans="1:12" x14ac:dyDescent="0.2">
      <c r="A1593" s="517">
        <v>72</v>
      </c>
      <c r="B1593" s="485" t="s">
        <v>1919</v>
      </c>
      <c r="C1593" s="476" t="s">
        <v>6517</v>
      </c>
      <c r="D1593" s="464"/>
      <c r="E1593" s="471" t="s">
        <v>2907</v>
      </c>
      <c r="F1593" s="471" t="s">
        <v>2792</v>
      </c>
      <c r="G1593" s="464"/>
      <c r="H1593" s="472">
        <v>45181</v>
      </c>
      <c r="I1593" s="488">
        <f t="shared" si="64"/>
        <v>5018310.81081081</v>
      </c>
      <c r="J1593" s="488">
        <f t="shared" si="65"/>
        <v>552014.18918918911</v>
      </c>
      <c r="K1593" s="474">
        <f>1261980+2108601+2199744</f>
        <v>5570325</v>
      </c>
      <c r="L1593" s="475"/>
    </row>
    <row r="1594" spans="1:12" x14ac:dyDescent="0.2">
      <c r="A1594" s="517">
        <v>73</v>
      </c>
      <c r="B1594" s="469" t="s">
        <v>1920</v>
      </c>
      <c r="C1594" s="476" t="s">
        <v>6470</v>
      </c>
      <c r="D1594" s="464"/>
      <c r="E1594" s="465" t="s">
        <v>2948</v>
      </c>
      <c r="F1594" s="466" t="s">
        <v>2892</v>
      </c>
      <c r="G1594" s="464"/>
      <c r="H1594" s="477">
        <v>45182</v>
      </c>
      <c r="I1594" s="473">
        <f t="shared" si="64"/>
        <v>12250070.270270269</v>
      </c>
      <c r="J1594" s="473">
        <f t="shared" si="65"/>
        <v>1347507.7297297297</v>
      </c>
      <c r="K1594" s="474">
        <f>7140960+3775680+2680938</f>
        <v>13597578</v>
      </c>
      <c r="L1594" s="475"/>
    </row>
    <row r="1595" spans="1:12" x14ac:dyDescent="0.2">
      <c r="A1595" s="517">
        <v>74</v>
      </c>
      <c r="B1595" s="485" t="s">
        <v>1921</v>
      </c>
      <c r="C1595" s="476" t="s">
        <v>6468</v>
      </c>
      <c r="D1595" s="464"/>
      <c r="E1595" s="465" t="s">
        <v>2939</v>
      </c>
      <c r="F1595" s="466" t="s">
        <v>2940</v>
      </c>
      <c r="G1595" s="464"/>
      <c r="H1595" s="477">
        <v>45183</v>
      </c>
      <c r="I1595" s="488">
        <f t="shared" si="64"/>
        <v>11648797.297297297</v>
      </c>
      <c r="J1595" s="488">
        <f t="shared" si="65"/>
        <v>1281367.7027027027</v>
      </c>
      <c r="K1595" s="474">
        <f>10003500+1603125+1323540</f>
        <v>12930165</v>
      </c>
      <c r="L1595" s="475"/>
    </row>
    <row r="1596" spans="1:12" x14ac:dyDescent="0.2">
      <c r="A1596" s="517">
        <v>75</v>
      </c>
      <c r="B1596" s="469" t="s">
        <v>1922</v>
      </c>
      <c r="C1596" s="476" t="s">
        <v>6503</v>
      </c>
      <c r="D1596" s="464"/>
      <c r="E1596" s="465" t="s">
        <v>2898</v>
      </c>
      <c r="F1596" s="466" t="s">
        <v>2823</v>
      </c>
      <c r="G1596" s="464"/>
      <c r="H1596" s="477">
        <v>45185</v>
      </c>
      <c r="I1596" s="473">
        <f t="shared" si="64"/>
        <v>33014788.288288284</v>
      </c>
      <c r="J1596" s="473">
        <f t="shared" si="65"/>
        <v>3631626.7117117113</v>
      </c>
      <c r="K1596" s="474">
        <f>18204899+16791516+1650000</f>
        <v>36646415</v>
      </c>
      <c r="L1596" s="475"/>
    </row>
    <row r="1597" spans="1:12" x14ac:dyDescent="0.2">
      <c r="A1597" s="517">
        <v>76</v>
      </c>
      <c r="B1597" s="485" t="s">
        <v>1923</v>
      </c>
      <c r="C1597" s="476" t="s">
        <v>6526</v>
      </c>
      <c r="D1597" s="464"/>
      <c r="E1597" s="465" t="s">
        <v>2900</v>
      </c>
      <c r="F1597" s="466" t="s">
        <v>2823</v>
      </c>
      <c r="G1597" s="464"/>
      <c r="H1597" s="477">
        <v>45178</v>
      </c>
      <c r="I1597" s="488">
        <f t="shared" si="64"/>
        <v>37072183.783783779</v>
      </c>
      <c r="J1597" s="488">
        <f t="shared" si="65"/>
        <v>4077940.2162162159</v>
      </c>
      <c r="K1597" s="474">
        <f>26228664+7599924+7321536</f>
        <v>41150124</v>
      </c>
      <c r="L1597" s="475"/>
    </row>
    <row r="1598" spans="1:12" x14ac:dyDescent="0.2">
      <c r="A1598" s="517">
        <v>77</v>
      </c>
      <c r="B1598" s="469" t="s">
        <v>1924</v>
      </c>
      <c r="C1598" s="476" t="s">
        <v>6484</v>
      </c>
      <c r="D1598" s="464"/>
      <c r="E1598" s="465" t="s">
        <v>2907</v>
      </c>
      <c r="F1598" s="466" t="s">
        <v>2908</v>
      </c>
      <c r="G1598" s="464"/>
      <c r="H1598" s="477">
        <v>45187</v>
      </c>
      <c r="I1598" s="473">
        <f t="shared" si="64"/>
        <v>8066454.0540540535</v>
      </c>
      <c r="J1598" s="473">
        <f t="shared" si="65"/>
        <v>887309.94594594592</v>
      </c>
      <c r="K1598" s="474">
        <f>760950+5625762+2567052</f>
        <v>8953764</v>
      </c>
      <c r="L1598" s="475"/>
    </row>
    <row r="1599" spans="1:12" x14ac:dyDescent="0.2">
      <c r="A1599" s="517">
        <v>78</v>
      </c>
      <c r="B1599" s="485" t="s">
        <v>1925</v>
      </c>
      <c r="C1599" s="476" t="s">
        <v>6488</v>
      </c>
      <c r="D1599" s="464"/>
      <c r="E1599" s="465" t="s">
        <v>2936</v>
      </c>
      <c r="F1599" s="466" t="s">
        <v>2922</v>
      </c>
      <c r="G1599" s="464"/>
      <c r="H1599" s="477">
        <v>45181</v>
      </c>
      <c r="I1599" s="488">
        <f t="shared" si="64"/>
        <v>5951570.2702702694</v>
      </c>
      <c r="J1599" s="488">
        <f t="shared" si="65"/>
        <v>654672.72972972959</v>
      </c>
      <c r="K1599" s="474">
        <f>3687273+2523960+395010</f>
        <v>6606243</v>
      </c>
      <c r="L1599" s="475"/>
    </row>
    <row r="1600" spans="1:12" x14ac:dyDescent="0.2">
      <c r="A1600" s="517">
        <v>79</v>
      </c>
      <c r="B1600" s="469" t="s">
        <v>1926</v>
      </c>
      <c r="C1600" s="476" t="s">
        <v>6476</v>
      </c>
      <c r="D1600" s="464"/>
      <c r="E1600" s="465" t="s">
        <v>2968</v>
      </c>
      <c r="F1600" s="466" t="s">
        <v>2969</v>
      </c>
      <c r="G1600" s="464"/>
      <c r="H1600" s="477">
        <v>45185</v>
      </c>
      <c r="I1600" s="473">
        <f t="shared" si="64"/>
        <v>7944105.405405405</v>
      </c>
      <c r="J1600" s="473">
        <f t="shared" si="65"/>
        <v>873851.59459459456</v>
      </c>
      <c r="K1600" s="474">
        <f>1846800+6971157</f>
        <v>8817957</v>
      </c>
      <c r="L1600" s="475"/>
    </row>
    <row r="1601" spans="1:12" x14ac:dyDescent="0.2">
      <c r="A1601" s="517">
        <v>80</v>
      </c>
      <c r="B1601" s="485" t="s">
        <v>1927</v>
      </c>
      <c r="C1601" s="476" t="s">
        <v>6507</v>
      </c>
      <c r="D1601" s="464"/>
      <c r="E1601" s="465" t="s">
        <v>3133</v>
      </c>
      <c r="F1601" s="466" t="s">
        <v>2935</v>
      </c>
      <c r="G1601" s="464"/>
      <c r="H1601" s="477">
        <v>45187</v>
      </c>
      <c r="I1601" s="488">
        <f t="shared" si="64"/>
        <v>9875699.0990990978</v>
      </c>
      <c r="J1601" s="488">
        <f t="shared" si="65"/>
        <v>1086326.9009009008</v>
      </c>
      <c r="K1601" s="474">
        <f>8176436+2785590</f>
        <v>10962026</v>
      </c>
      <c r="L1601" s="475"/>
    </row>
    <row r="1602" spans="1:12" x14ac:dyDescent="0.2">
      <c r="A1602" s="517">
        <v>81</v>
      </c>
      <c r="B1602" s="469" t="s">
        <v>1928</v>
      </c>
      <c r="C1602" s="476" t="s">
        <v>6550</v>
      </c>
      <c r="D1602" s="464"/>
      <c r="E1602" s="465" t="s">
        <v>2906</v>
      </c>
      <c r="F1602" s="466" t="s">
        <v>2892</v>
      </c>
      <c r="G1602" s="464"/>
      <c r="H1602" s="477">
        <v>45189</v>
      </c>
      <c r="I1602" s="473">
        <f t="shared" si="64"/>
        <v>9796605.405405404</v>
      </c>
      <c r="J1602" s="473">
        <f t="shared" si="65"/>
        <v>1077626.5945945946</v>
      </c>
      <c r="K1602" s="474">
        <f>7625061+1303875+1945296</f>
        <v>10874232</v>
      </c>
      <c r="L1602" s="475"/>
    </row>
    <row r="1603" spans="1:12" x14ac:dyDescent="0.2">
      <c r="A1603" s="517">
        <v>82</v>
      </c>
      <c r="B1603" s="485" t="s">
        <v>1929</v>
      </c>
      <c r="C1603" s="476" t="s">
        <v>6543</v>
      </c>
      <c r="D1603" s="464"/>
      <c r="E1603" s="465" t="s">
        <v>2887</v>
      </c>
      <c r="F1603" s="466" t="s">
        <v>2888</v>
      </c>
      <c r="G1603" s="464"/>
      <c r="H1603" s="477">
        <v>45190</v>
      </c>
      <c r="I1603" s="488">
        <f t="shared" si="64"/>
        <v>18565054.054054052</v>
      </c>
      <c r="J1603" s="488">
        <f t="shared" si="65"/>
        <v>2042155.9459459458</v>
      </c>
      <c r="K1603" s="474">
        <f>6463800+11286000+2857410</f>
        <v>20607210</v>
      </c>
      <c r="L1603" s="475"/>
    </row>
    <row r="1604" spans="1:12" x14ac:dyDescent="0.2">
      <c r="A1604" s="517">
        <v>83</v>
      </c>
      <c r="B1604" s="469" t="s">
        <v>1930</v>
      </c>
      <c r="C1604" s="476" t="s">
        <v>6551</v>
      </c>
      <c r="D1604" s="464"/>
      <c r="E1604" s="471" t="s">
        <v>3020</v>
      </c>
      <c r="F1604" s="471" t="s">
        <v>3021</v>
      </c>
      <c r="G1604" s="464"/>
      <c r="H1604" s="472">
        <v>45196</v>
      </c>
      <c r="I1604" s="473">
        <f t="shared" si="64"/>
        <v>6109783.7837837832</v>
      </c>
      <c r="J1604" s="473">
        <f t="shared" si="65"/>
        <v>672076.21621621621</v>
      </c>
      <c r="K1604" s="474">
        <f>2010960+4770900</f>
        <v>6781860</v>
      </c>
      <c r="L1604" s="475"/>
    </row>
    <row r="1605" spans="1:12" x14ac:dyDescent="0.2">
      <c r="A1605" s="517">
        <v>84</v>
      </c>
      <c r="B1605" s="485" t="s">
        <v>1931</v>
      </c>
      <c r="C1605" s="476" t="s">
        <v>6540</v>
      </c>
      <c r="D1605" s="464"/>
      <c r="E1605" s="471" t="s">
        <v>2894</v>
      </c>
      <c r="F1605" s="471" t="s">
        <v>2851</v>
      </c>
      <c r="G1605" s="464"/>
      <c r="H1605" s="472">
        <v>45198</v>
      </c>
      <c r="I1605" s="488">
        <f t="shared" si="64"/>
        <v>22084475.675675675</v>
      </c>
      <c r="J1605" s="488">
        <f t="shared" si="65"/>
        <v>2429292.3243243243</v>
      </c>
      <c r="K1605" s="474">
        <f>4743000+18972000+798768</f>
        <v>24513768</v>
      </c>
      <c r="L1605" s="475"/>
    </row>
    <row r="1606" spans="1:12" x14ac:dyDescent="0.2">
      <c r="A1606" s="517">
        <v>85</v>
      </c>
      <c r="B1606" s="469" t="s">
        <v>1932</v>
      </c>
      <c r="C1606" s="476" t="s">
        <v>6471</v>
      </c>
      <c r="D1606" s="464"/>
      <c r="E1606" s="465" t="s">
        <v>6909</v>
      </c>
      <c r="F1606" s="466" t="s">
        <v>2886</v>
      </c>
      <c r="G1606" s="464"/>
      <c r="H1606" s="477">
        <v>45181</v>
      </c>
      <c r="I1606" s="473">
        <f t="shared" si="64"/>
        <v>2662745.9459459456</v>
      </c>
      <c r="J1606" s="473">
        <f t="shared" si="65"/>
        <v>292902.05405405402</v>
      </c>
      <c r="K1606" s="474">
        <v>2955648</v>
      </c>
      <c r="L1606" s="475"/>
    </row>
    <row r="1607" spans="1:12" x14ac:dyDescent="0.2">
      <c r="A1607" s="517">
        <v>86</v>
      </c>
      <c r="B1607" s="485" t="s">
        <v>1933</v>
      </c>
      <c r="C1607" s="476" t="s">
        <v>6472</v>
      </c>
      <c r="D1607" s="464"/>
      <c r="E1607" s="465" t="s">
        <v>2916</v>
      </c>
      <c r="F1607" s="466" t="s">
        <v>2917</v>
      </c>
      <c r="G1607" s="464"/>
      <c r="H1607" s="477">
        <v>45181</v>
      </c>
      <c r="I1607" s="488">
        <f t="shared" si="64"/>
        <v>1332165.7657657657</v>
      </c>
      <c r="J1607" s="488">
        <f t="shared" si="65"/>
        <v>146538.23423423423</v>
      </c>
      <c r="K1607" s="474">
        <v>1478704</v>
      </c>
      <c r="L1607" s="475"/>
    </row>
    <row r="1608" spans="1:12" x14ac:dyDescent="0.2">
      <c r="A1608" s="517">
        <v>87</v>
      </c>
      <c r="B1608" s="469" t="s">
        <v>1934</v>
      </c>
      <c r="C1608" s="476" t="s">
        <v>6473</v>
      </c>
      <c r="D1608" s="464"/>
      <c r="E1608" s="465" t="s">
        <v>2907</v>
      </c>
      <c r="F1608" s="466" t="s">
        <v>2953</v>
      </c>
      <c r="G1608" s="464"/>
      <c r="H1608" s="477">
        <v>45183</v>
      </c>
      <c r="I1608" s="473">
        <f t="shared" si="64"/>
        <v>198267.56756756754</v>
      </c>
      <c r="J1608" s="473">
        <f t="shared" si="65"/>
        <v>21809.43243243243</v>
      </c>
      <c r="K1608" s="474">
        <v>220077</v>
      </c>
      <c r="L1608" s="475"/>
    </row>
    <row r="1609" spans="1:12" x14ac:dyDescent="0.2">
      <c r="A1609" s="517">
        <v>88</v>
      </c>
      <c r="B1609" s="485" t="s">
        <v>1935</v>
      </c>
      <c r="C1609" s="476" t="s">
        <v>6544</v>
      </c>
      <c r="D1609" s="464"/>
      <c r="E1609" s="465" t="s">
        <v>3082</v>
      </c>
      <c r="F1609" s="466" t="s">
        <v>3061</v>
      </c>
      <c r="G1609" s="464"/>
      <c r="H1609" s="477">
        <v>45183</v>
      </c>
      <c r="I1609" s="488">
        <f t="shared" si="64"/>
        <v>11012612.612612613</v>
      </c>
      <c r="J1609" s="488">
        <f t="shared" si="65"/>
        <v>1211387.3873873875</v>
      </c>
      <c r="K1609" s="474">
        <f>1680000+1920000+8624000</f>
        <v>12224000</v>
      </c>
      <c r="L1609" s="475"/>
    </row>
    <row r="1610" spans="1:12" x14ac:dyDescent="0.2">
      <c r="A1610" s="517">
        <v>89</v>
      </c>
      <c r="B1610" s="469" t="s">
        <v>1936</v>
      </c>
      <c r="C1610" s="476" t="s">
        <v>6475</v>
      </c>
      <c r="D1610" s="464"/>
      <c r="E1610" s="465" t="s">
        <v>2961</v>
      </c>
      <c r="F1610" s="466" t="s">
        <v>2953</v>
      </c>
      <c r="G1610" s="464"/>
      <c r="H1610" s="477">
        <v>45187</v>
      </c>
      <c r="I1610" s="473">
        <f t="shared" si="64"/>
        <v>11247178.378378378</v>
      </c>
      <c r="J1610" s="473">
        <f t="shared" si="65"/>
        <v>1237189.6216216215</v>
      </c>
      <c r="K1610" s="474">
        <v>12484368</v>
      </c>
      <c r="L1610" s="475"/>
    </row>
    <row r="1611" spans="1:12" x14ac:dyDescent="0.2">
      <c r="A1611" s="517">
        <v>90</v>
      </c>
      <c r="B1611" s="485" t="s">
        <v>1937</v>
      </c>
      <c r="C1611" s="476" t="s">
        <v>6508</v>
      </c>
      <c r="D1611" s="464"/>
      <c r="E1611" s="465" t="s">
        <v>2907</v>
      </c>
      <c r="F1611" s="466" t="s">
        <v>2926</v>
      </c>
      <c r="G1611" s="464"/>
      <c r="H1611" s="477">
        <v>45184</v>
      </c>
      <c r="I1611" s="488">
        <f t="shared" si="64"/>
        <v>11980392.792792792</v>
      </c>
      <c r="J1611" s="488">
        <f t="shared" si="65"/>
        <v>1317843.2072072071</v>
      </c>
      <c r="K1611" s="474">
        <f>1671354+11626882</f>
        <v>13298236</v>
      </c>
      <c r="L1611" s="475"/>
    </row>
    <row r="1612" spans="1:12" x14ac:dyDescent="0.2">
      <c r="A1612" s="517">
        <v>91</v>
      </c>
      <c r="B1612" s="469" t="s">
        <v>1938</v>
      </c>
      <c r="C1612" s="476" t="s">
        <v>6534</v>
      </c>
      <c r="D1612" s="464"/>
      <c r="E1612" s="465" t="s">
        <v>2893</v>
      </c>
      <c r="F1612" s="466" t="s">
        <v>2890</v>
      </c>
      <c r="G1612" s="464"/>
      <c r="H1612" s="477">
        <v>45185</v>
      </c>
      <c r="I1612" s="473">
        <f t="shared" si="64"/>
        <v>8606845.9459459446</v>
      </c>
      <c r="J1612" s="473">
        <f t="shared" si="65"/>
        <v>946753.05405405397</v>
      </c>
      <c r="K1612" s="474">
        <f>5040225+2717874+1795500</f>
        <v>9553599</v>
      </c>
      <c r="L1612" s="475"/>
    </row>
    <row r="1613" spans="1:12" x14ac:dyDescent="0.2">
      <c r="A1613" s="517">
        <v>92</v>
      </c>
      <c r="B1613" s="485" t="s">
        <v>1939</v>
      </c>
      <c r="C1613" s="476" t="s">
        <v>6479</v>
      </c>
      <c r="D1613" s="464"/>
      <c r="E1613" s="465" t="s">
        <v>3003</v>
      </c>
      <c r="F1613" s="466" t="s">
        <v>3108</v>
      </c>
      <c r="G1613" s="464"/>
      <c r="H1613" s="477">
        <v>45189</v>
      </c>
      <c r="I1613" s="488">
        <f t="shared" si="64"/>
        <v>1464129.7297297297</v>
      </c>
      <c r="J1613" s="488">
        <f t="shared" si="65"/>
        <v>161054.27027027027</v>
      </c>
      <c r="K1613" s="474">
        <v>1625184</v>
      </c>
      <c r="L1613" s="475"/>
    </row>
    <row r="1614" spans="1:12" x14ac:dyDescent="0.2">
      <c r="A1614" s="517">
        <v>93</v>
      </c>
      <c r="B1614" s="469" t="s">
        <v>1940</v>
      </c>
      <c r="C1614" s="476" t="s">
        <v>6480</v>
      </c>
      <c r="D1614" s="464"/>
      <c r="E1614" s="465" t="s">
        <v>4322</v>
      </c>
      <c r="F1614" s="466" t="s">
        <v>3092</v>
      </c>
      <c r="G1614" s="464"/>
      <c r="H1614" s="477">
        <v>45189</v>
      </c>
      <c r="I1614" s="473">
        <f t="shared" si="64"/>
        <v>421621.6216216216</v>
      </c>
      <c r="J1614" s="473">
        <f t="shared" si="65"/>
        <v>46378.378378378373</v>
      </c>
      <c r="K1614" s="474">
        <v>468000</v>
      </c>
      <c r="L1614" s="475"/>
    </row>
    <row r="1615" spans="1:12" x14ac:dyDescent="0.2">
      <c r="A1615" s="517">
        <v>94</v>
      </c>
      <c r="B1615" s="485" t="s">
        <v>1941</v>
      </c>
      <c r="C1615" s="476" t="s">
        <v>6481</v>
      </c>
      <c r="D1615" s="464"/>
      <c r="E1615" s="465" t="s">
        <v>3553</v>
      </c>
      <c r="F1615" s="466" t="s">
        <v>2908</v>
      </c>
      <c r="G1615" s="464"/>
      <c r="H1615" s="477">
        <v>45190</v>
      </c>
      <c r="I1615" s="488">
        <f t="shared" si="64"/>
        <v>161756.75675675675</v>
      </c>
      <c r="J1615" s="488">
        <f t="shared" si="65"/>
        <v>17793.243243243243</v>
      </c>
      <c r="K1615" s="474">
        <v>179550</v>
      </c>
      <c r="L1615" s="475"/>
    </row>
    <row r="1616" spans="1:12" x14ac:dyDescent="0.2">
      <c r="A1616" s="517">
        <v>95</v>
      </c>
      <c r="B1616" s="469" t="s">
        <v>1942</v>
      </c>
      <c r="C1616" s="480" t="s">
        <v>6482</v>
      </c>
      <c r="D1616" s="481"/>
      <c r="E1616" s="482" t="s">
        <v>3541</v>
      </c>
      <c r="F1616" s="483" t="s">
        <v>2982</v>
      </c>
      <c r="G1616" s="513"/>
      <c r="H1616" s="484">
        <v>45190</v>
      </c>
      <c r="I1616" s="473">
        <f t="shared" si="64"/>
        <v>351243.2432432432</v>
      </c>
      <c r="J1616" s="473">
        <f t="shared" si="65"/>
        <v>38636.756756756753</v>
      </c>
      <c r="K1616" s="474">
        <v>389880</v>
      </c>
      <c r="L1616" s="475"/>
    </row>
    <row r="1617" spans="1:12" x14ac:dyDescent="0.2">
      <c r="A1617" s="517">
        <v>96</v>
      </c>
      <c r="B1617" s="485" t="s">
        <v>1943</v>
      </c>
      <c r="C1617" s="476" t="s">
        <v>6483</v>
      </c>
      <c r="D1617" s="464"/>
      <c r="E1617" s="471" t="s">
        <v>2918</v>
      </c>
      <c r="F1617" s="471" t="s">
        <v>2919</v>
      </c>
      <c r="G1617" s="464"/>
      <c r="H1617" s="477">
        <v>45190</v>
      </c>
      <c r="I1617" s="488">
        <f t="shared" si="64"/>
        <v>1459198.1981981981</v>
      </c>
      <c r="J1617" s="488">
        <f t="shared" si="65"/>
        <v>160511.8018018018</v>
      </c>
      <c r="K1617" s="474">
        <v>1619710</v>
      </c>
      <c r="L1617" s="475"/>
    </row>
    <row r="1618" spans="1:12" x14ac:dyDescent="0.2">
      <c r="A1618" s="517">
        <v>97</v>
      </c>
      <c r="B1618" s="469" t="s">
        <v>1944</v>
      </c>
      <c r="C1618" s="476" t="s">
        <v>6532</v>
      </c>
      <c r="D1618" s="464"/>
      <c r="E1618" s="465" t="s">
        <v>2981</v>
      </c>
      <c r="F1618" s="466" t="s">
        <v>2982</v>
      </c>
      <c r="G1618" s="464"/>
      <c r="H1618" s="477">
        <v>45187</v>
      </c>
      <c r="I1618" s="473">
        <f t="shared" si="64"/>
        <v>15501545.945945945</v>
      </c>
      <c r="J1618" s="473">
        <f t="shared" si="65"/>
        <v>1705170.054054054</v>
      </c>
      <c r="K1618" s="474">
        <f>3078000+3903600+10225116</f>
        <v>17206716</v>
      </c>
      <c r="L1618" s="475"/>
    </row>
    <row r="1619" spans="1:12" x14ac:dyDescent="0.2">
      <c r="A1619" s="517">
        <v>98</v>
      </c>
      <c r="B1619" s="485" t="s">
        <v>1945</v>
      </c>
      <c r="C1619" s="476" t="s">
        <v>6487</v>
      </c>
      <c r="D1619" s="464"/>
      <c r="E1619" s="465" t="s">
        <v>3491</v>
      </c>
      <c r="F1619" s="466" t="s">
        <v>3492</v>
      </c>
      <c r="G1619" s="464"/>
      <c r="H1619" s="477">
        <v>45191</v>
      </c>
      <c r="I1619" s="488">
        <f t="shared" si="64"/>
        <v>1600236.036036036</v>
      </c>
      <c r="J1619" s="488">
        <f t="shared" si="65"/>
        <v>176025.96396396396</v>
      </c>
      <c r="K1619" s="474">
        <v>1776262</v>
      </c>
      <c r="L1619" s="475"/>
    </row>
    <row r="1620" spans="1:12" x14ac:dyDescent="0.2">
      <c r="A1620" s="517">
        <v>99</v>
      </c>
      <c r="B1620" s="469" t="s">
        <v>1946</v>
      </c>
      <c r="C1620" s="476" t="s">
        <v>6489</v>
      </c>
      <c r="D1620" s="464"/>
      <c r="E1620" s="465" t="s">
        <v>6077</v>
      </c>
      <c r="F1620" s="466" t="s">
        <v>2922</v>
      </c>
      <c r="G1620" s="464"/>
      <c r="H1620" s="477">
        <v>45194</v>
      </c>
      <c r="I1620" s="473">
        <f t="shared" si="64"/>
        <v>2994810.8108108104</v>
      </c>
      <c r="J1620" s="473">
        <f t="shared" si="65"/>
        <v>329429.18918918917</v>
      </c>
      <c r="K1620" s="474">
        <v>3324240</v>
      </c>
      <c r="L1620" s="475"/>
    </row>
    <row r="1621" spans="1:12" x14ac:dyDescent="0.2">
      <c r="A1621" s="517">
        <v>100</v>
      </c>
      <c r="B1621" s="485" t="s">
        <v>1947</v>
      </c>
      <c r="C1621" s="476" t="s">
        <v>6510</v>
      </c>
      <c r="D1621" s="464"/>
      <c r="E1621" s="465" t="s">
        <v>6492</v>
      </c>
      <c r="F1621" s="466" t="s">
        <v>6493</v>
      </c>
      <c r="G1621" s="464"/>
      <c r="H1621" s="477">
        <v>45190</v>
      </c>
      <c r="I1621" s="488">
        <f t="shared" si="64"/>
        <v>1037837.8378378378</v>
      </c>
      <c r="J1621" s="488">
        <f t="shared" si="65"/>
        <v>114162.16216216216</v>
      </c>
      <c r="K1621" s="474">
        <f>252000+900000</f>
        <v>1152000</v>
      </c>
      <c r="L1621" s="475"/>
    </row>
    <row r="1622" spans="1:12" x14ac:dyDescent="0.2">
      <c r="A1622" s="517">
        <v>101</v>
      </c>
      <c r="B1622" s="469" t="s">
        <v>1948</v>
      </c>
      <c r="C1622" s="476" t="s">
        <v>6496</v>
      </c>
      <c r="D1622" s="464"/>
      <c r="E1622" s="465" t="s">
        <v>2914</v>
      </c>
      <c r="F1622" s="466" t="s">
        <v>2915</v>
      </c>
      <c r="G1622" s="464"/>
      <c r="H1622" s="477">
        <v>45196</v>
      </c>
      <c r="I1622" s="473">
        <f t="shared" si="64"/>
        <v>661816.21621621621</v>
      </c>
      <c r="J1622" s="473">
        <f t="shared" si="65"/>
        <v>72799.783783783787</v>
      </c>
      <c r="K1622" s="474">
        <v>734616</v>
      </c>
      <c r="L1622" s="475"/>
    </row>
    <row r="1623" spans="1:12" x14ac:dyDescent="0.2">
      <c r="A1623" s="517">
        <v>102</v>
      </c>
      <c r="B1623" s="485" t="s">
        <v>1949</v>
      </c>
      <c r="C1623" s="476" t="s">
        <v>6497</v>
      </c>
      <c r="D1623" s="464"/>
      <c r="E1623" s="465" t="s">
        <v>3122</v>
      </c>
      <c r="F1623" s="466" t="s">
        <v>2946</v>
      </c>
      <c r="G1623" s="464"/>
      <c r="H1623" s="477">
        <v>45196</v>
      </c>
      <c r="I1623" s="488">
        <f t="shared" si="64"/>
        <v>1689808.1081081079</v>
      </c>
      <c r="J1623" s="488">
        <f t="shared" si="65"/>
        <v>185878.89189189186</v>
      </c>
      <c r="K1623" s="474">
        <v>1875687</v>
      </c>
      <c r="L1623" s="475"/>
    </row>
    <row r="1624" spans="1:12" x14ac:dyDescent="0.2">
      <c r="A1624" s="517">
        <v>103</v>
      </c>
      <c r="B1624" s="469" t="s">
        <v>1950</v>
      </c>
      <c r="C1624" s="476" t="s">
        <v>6498</v>
      </c>
      <c r="D1624" s="464"/>
      <c r="E1624" s="465" t="s">
        <v>3581</v>
      </c>
      <c r="F1624" s="466" t="s">
        <v>2944</v>
      </c>
      <c r="G1624" s="464"/>
      <c r="H1624" s="477">
        <v>45198</v>
      </c>
      <c r="I1624" s="473">
        <f t="shared" si="64"/>
        <v>5968468.4684684677</v>
      </c>
      <c r="J1624" s="473">
        <f t="shared" si="65"/>
        <v>656531.53153153148</v>
      </c>
      <c r="K1624" s="474">
        <v>6625000</v>
      </c>
      <c r="L1624" s="475"/>
    </row>
    <row r="1625" spans="1:12" x14ac:dyDescent="0.2">
      <c r="A1625" s="517">
        <v>104</v>
      </c>
      <c r="B1625" s="485" t="s">
        <v>1951</v>
      </c>
      <c r="C1625" s="476" t="s">
        <v>6541</v>
      </c>
      <c r="D1625" s="464"/>
      <c r="E1625" s="465" t="s">
        <v>2929</v>
      </c>
      <c r="F1625" s="466" t="s">
        <v>2886</v>
      </c>
      <c r="G1625" s="464"/>
      <c r="H1625" s="477">
        <v>45188</v>
      </c>
      <c r="I1625" s="488">
        <f t="shared" si="64"/>
        <v>4666710.81081081</v>
      </c>
      <c r="J1625" s="488">
        <f t="shared" si="65"/>
        <v>513338.18918918911</v>
      </c>
      <c r="K1625" s="474">
        <f>650997+2650000+1879052</f>
        <v>5180049</v>
      </c>
      <c r="L1625" s="475"/>
    </row>
    <row r="1626" spans="1:12" x14ac:dyDescent="0.2">
      <c r="A1626" s="517">
        <v>105</v>
      </c>
      <c r="B1626" s="469" t="s">
        <v>1952</v>
      </c>
      <c r="C1626" s="476" t="s">
        <v>6499</v>
      </c>
      <c r="D1626" s="464"/>
      <c r="E1626" s="465" t="s">
        <v>4294</v>
      </c>
      <c r="F1626" s="466" t="s">
        <v>2946</v>
      </c>
      <c r="G1626" s="464"/>
      <c r="H1626" s="477">
        <v>45198</v>
      </c>
      <c r="I1626" s="473">
        <f t="shared" si="64"/>
        <v>84684.684684684675</v>
      </c>
      <c r="J1626" s="473">
        <f t="shared" si="65"/>
        <v>9315.3153153153144</v>
      </c>
      <c r="K1626" s="474">
        <v>94000</v>
      </c>
      <c r="L1626" s="475"/>
    </row>
    <row r="1627" spans="1:12" x14ac:dyDescent="0.2">
      <c r="A1627" s="517">
        <v>106</v>
      </c>
      <c r="B1627" s="485" t="s">
        <v>1953</v>
      </c>
      <c r="C1627" s="480" t="s">
        <v>6500</v>
      </c>
      <c r="D1627" s="481"/>
      <c r="E1627" s="482" t="s">
        <v>5041</v>
      </c>
      <c r="F1627" s="483" t="s">
        <v>2828</v>
      </c>
      <c r="G1627" s="513"/>
      <c r="H1627" s="484">
        <v>45199</v>
      </c>
      <c r="I1627" s="488">
        <f t="shared" si="64"/>
        <v>5968468.4684684677</v>
      </c>
      <c r="J1627" s="488">
        <f t="shared" si="65"/>
        <v>656531.53153153148</v>
      </c>
      <c r="K1627" s="474">
        <v>6625000</v>
      </c>
      <c r="L1627" s="475"/>
    </row>
    <row r="1628" spans="1:12" x14ac:dyDescent="0.2">
      <c r="A1628" s="517">
        <v>107</v>
      </c>
      <c r="B1628" s="469" t="s">
        <v>1954</v>
      </c>
      <c r="C1628" s="476" t="s">
        <v>6533</v>
      </c>
      <c r="D1628" s="464"/>
      <c r="E1628" s="471" t="s">
        <v>2907</v>
      </c>
      <c r="F1628" s="471" t="s">
        <v>2908</v>
      </c>
      <c r="G1628" s="464"/>
      <c r="H1628" s="477">
        <v>45196</v>
      </c>
      <c r="I1628" s="473">
        <f t="shared" si="64"/>
        <v>4905452.2522522518</v>
      </c>
      <c r="J1628" s="473">
        <f t="shared" si="65"/>
        <v>539599.74774774769</v>
      </c>
      <c r="K1628" s="474">
        <f>4591350+853702</f>
        <v>5445052</v>
      </c>
      <c r="L1628" s="475"/>
    </row>
    <row r="1629" spans="1:12" x14ac:dyDescent="0.2">
      <c r="A1629" s="517">
        <v>108</v>
      </c>
      <c r="B1629" s="485" t="s">
        <v>1955</v>
      </c>
      <c r="C1629" s="476" t="s">
        <v>6501</v>
      </c>
      <c r="D1629" s="464"/>
      <c r="E1629" s="465" t="s">
        <v>3014</v>
      </c>
      <c r="F1629" s="466" t="s">
        <v>3006</v>
      </c>
      <c r="G1629" s="464"/>
      <c r="H1629" s="477">
        <v>45199</v>
      </c>
      <c r="I1629" s="488">
        <f t="shared" si="64"/>
        <v>2126870.2702702703</v>
      </c>
      <c r="J1629" s="488">
        <f t="shared" si="65"/>
        <v>233955.72972972973</v>
      </c>
      <c r="K1629" s="474">
        <v>2360826</v>
      </c>
      <c r="L1629" s="475"/>
    </row>
    <row r="1630" spans="1:12" x14ac:dyDescent="0.2">
      <c r="A1630" s="517">
        <v>109</v>
      </c>
      <c r="B1630" s="469" t="s">
        <v>1956</v>
      </c>
      <c r="C1630" s="476" t="s">
        <v>6525</v>
      </c>
      <c r="D1630" s="464"/>
      <c r="E1630" s="465" t="s">
        <v>2937</v>
      </c>
      <c r="F1630" s="466" t="s">
        <v>2823</v>
      </c>
      <c r="G1630" s="464"/>
      <c r="H1630" s="477">
        <v>45178</v>
      </c>
      <c r="I1630" s="473">
        <f t="shared" si="64"/>
        <v>25507469.369369365</v>
      </c>
      <c r="J1630" s="473">
        <f t="shared" si="65"/>
        <v>2805821.6306306301</v>
      </c>
      <c r="K1630" s="474">
        <f>13169736+10967940+4175615</f>
        <v>28313291</v>
      </c>
      <c r="L1630" s="475"/>
    </row>
    <row r="1631" spans="1:12" x14ac:dyDescent="0.2">
      <c r="A1631" s="517">
        <v>110</v>
      </c>
      <c r="B1631" s="485" t="s">
        <v>1957</v>
      </c>
      <c r="C1631" s="476" t="s">
        <v>6502</v>
      </c>
      <c r="D1631" s="464"/>
      <c r="E1631" s="465" t="s">
        <v>4319</v>
      </c>
      <c r="F1631" s="466" t="s">
        <v>3001</v>
      </c>
      <c r="G1631" s="464"/>
      <c r="H1631" s="477">
        <v>45182</v>
      </c>
      <c r="I1631" s="488">
        <f t="shared" si="64"/>
        <v>50450.450450450444</v>
      </c>
      <c r="J1631" s="488">
        <f t="shared" si="65"/>
        <v>5549.5495495495488</v>
      </c>
      <c r="K1631" s="474">
        <v>56000</v>
      </c>
      <c r="L1631" s="475"/>
    </row>
    <row r="1632" spans="1:12" x14ac:dyDescent="0.2">
      <c r="A1632" s="517">
        <v>111</v>
      </c>
      <c r="B1632" s="469" t="s">
        <v>1958</v>
      </c>
      <c r="C1632" s="476" t="s">
        <v>6528</v>
      </c>
      <c r="D1632" s="464"/>
      <c r="E1632" s="465" t="s">
        <v>3011</v>
      </c>
      <c r="F1632" s="466" t="s">
        <v>2823</v>
      </c>
      <c r="G1632" s="464"/>
      <c r="H1632" s="477">
        <v>45184</v>
      </c>
      <c r="I1632" s="473">
        <f t="shared" si="64"/>
        <v>33107294.59459459</v>
      </c>
      <c r="J1632" s="473">
        <f t="shared" si="65"/>
        <v>3641802.405405405</v>
      </c>
      <c r="K1632" s="474">
        <f>4801680+3864942+28082475</f>
        <v>36749097</v>
      </c>
      <c r="L1632" s="475"/>
    </row>
    <row r="1633" spans="1:12" x14ac:dyDescent="0.2">
      <c r="A1633" s="517">
        <v>112</v>
      </c>
      <c r="B1633" s="485" t="s">
        <v>1959</v>
      </c>
      <c r="C1633" s="476" t="s">
        <v>6504</v>
      </c>
      <c r="D1633" s="464"/>
      <c r="E1633" s="465" t="s">
        <v>2904</v>
      </c>
      <c r="F1633" s="466" t="s">
        <v>6168</v>
      </c>
      <c r="G1633" s="464"/>
      <c r="H1633" s="477">
        <v>45184</v>
      </c>
      <c r="I1633" s="488">
        <f t="shared" si="64"/>
        <v>1477070.2702702701</v>
      </c>
      <c r="J1633" s="488">
        <f t="shared" si="65"/>
        <v>162477.7297297297</v>
      </c>
      <c r="K1633" s="474">
        <f>1482570+156978</f>
        <v>1639548</v>
      </c>
      <c r="L1633" s="475"/>
    </row>
    <row r="1634" spans="1:12" x14ac:dyDescent="0.2">
      <c r="A1634" s="517">
        <v>113</v>
      </c>
      <c r="B1634" s="469" t="s">
        <v>1960</v>
      </c>
      <c r="C1634" s="476" t="s">
        <v>6506</v>
      </c>
      <c r="D1634" s="464"/>
      <c r="E1634" s="465" t="s">
        <v>2881</v>
      </c>
      <c r="F1634" s="466" t="s">
        <v>2808</v>
      </c>
      <c r="G1634" s="464"/>
      <c r="H1634" s="477">
        <v>45185</v>
      </c>
      <c r="I1634" s="473">
        <f t="shared" si="64"/>
        <v>1190529.7297297297</v>
      </c>
      <c r="J1634" s="473">
        <f t="shared" si="65"/>
        <v>130958.27027027027</v>
      </c>
      <c r="K1634" s="474">
        <v>1321488</v>
      </c>
      <c r="L1634" s="475"/>
    </row>
    <row r="1635" spans="1:12" x14ac:dyDescent="0.2">
      <c r="A1635" s="517">
        <v>114</v>
      </c>
      <c r="B1635" s="485" t="s">
        <v>1961</v>
      </c>
      <c r="C1635" s="476" t="s">
        <v>6509</v>
      </c>
      <c r="D1635" s="464"/>
      <c r="E1635" s="465" t="s">
        <v>3129</v>
      </c>
      <c r="F1635" s="466" t="s">
        <v>3108</v>
      </c>
      <c r="G1635" s="464"/>
      <c r="H1635" s="477">
        <v>45189</v>
      </c>
      <c r="I1635" s="488">
        <f t="shared" si="64"/>
        <v>308724.32432432432</v>
      </c>
      <c r="J1635" s="488">
        <f t="shared" si="65"/>
        <v>33959.675675675673</v>
      </c>
      <c r="K1635" s="474">
        <v>342684</v>
      </c>
      <c r="L1635" s="475"/>
    </row>
    <row r="1636" spans="1:12" x14ac:dyDescent="0.2">
      <c r="A1636" s="517">
        <v>115</v>
      </c>
      <c r="B1636" s="469" t="s">
        <v>1962</v>
      </c>
      <c r="C1636" s="476" t="s">
        <v>6515</v>
      </c>
      <c r="D1636" s="464"/>
      <c r="E1636" s="465" t="s">
        <v>2950</v>
      </c>
      <c r="F1636" s="466" t="s">
        <v>2951</v>
      </c>
      <c r="G1636" s="464"/>
      <c r="H1636" s="477">
        <v>45189</v>
      </c>
      <c r="I1636" s="473">
        <f t="shared" si="64"/>
        <v>2896972.9729729728</v>
      </c>
      <c r="J1636" s="473">
        <f t="shared" si="65"/>
        <v>318667.02702702698</v>
      </c>
      <c r="K1636" s="474">
        <f>2195640+1020000</f>
        <v>3215640</v>
      </c>
      <c r="L1636" s="475"/>
    </row>
    <row r="1637" spans="1:12" x14ac:dyDescent="0.2">
      <c r="A1637" s="517">
        <v>116</v>
      </c>
      <c r="B1637" s="485" t="s">
        <v>1963</v>
      </c>
      <c r="C1637" s="476" t="s">
        <v>6536</v>
      </c>
      <c r="D1637" s="464"/>
      <c r="E1637" s="465" t="s">
        <v>2948</v>
      </c>
      <c r="F1637" s="466" t="s">
        <v>2892</v>
      </c>
      <c r="G1637" s="464"/>
      <c r="H1637" s="477">
        <v>45191</v>
      </c>
      <c r="I1637" s="488">
        <f t="shared" si="64"/>
        <v>4824972.9729729723</v>
      </c>
      <c r="J1637" s="488">
        <f t="shared" si="65"/>
        <v>530747.02702702698</v>
      </c>
      <c r="K1637" s="474">
        <f>1292760+4062960</f>
        <v>5355720</v>
      </c>
      <c r="L1637" s="475"/>
    </row>
    <row r="1638" spans="1:12" x14ac:dyDescent="0.2">
      <c r="A1638" s="517">
        <v>117</v>
      </c>
      <c r="B1638" s="469" t="s">
        <v>1964</v>
      </c>
      <c r="C1638" s="480" t="s">
        <v>6514</v>
      </c>
      <c r="D1638" s="481"/>
      <c r="E1638" s="482" t="s">
        <v>2885</v>
      </c>
      <c r="F1638" s="483" t="s">
        <v>2886</v>
      </c>
      <c r="G1638" s="513"/>
      <c r="H1638" s="484">
        <v>45196</v>
      </c>
      <c r="I1638" s="473">
        <f t="shared" si="64"/>
        <v>3721398.1981981979</v>
      </c>
      <c r="J1638" s="473">
        <f t="shared" si="65"/>
        <v>409353.80180180178</v>
      </c>
      <c r="K1638" s="474">
        <v>4130752</v>
      </c>
      <c r="L1638" s="475"/>
    </row>
    <row r="1639" spans="1:12" x14ac:dyDescent="0.2">
      <c r="A1639" s="517">
        <v>118</v>
      </c>
      <c r="B1639" s="485" t="s">
        <v>1965</v>
      </c>
      <c r="C1639" s="476" t="s">
        <v>6516</v>
      </c>
      <c r="D1639" s="464"/>
      <c r="E1639" s="471" t="s">
        <v>4026</v>
      </c>
      <c r="F1639" s="471" t="s">
        <v>3033</v>
      </c>
      <c r="G1639" s="464"/>
      <c r="H1639" s="477">
        <v>45192</v>
      </c>
      <c r="I1639" s="488">
        <f t="shared" si="64"/>
        <v>227027.02702702701</v>
      </c>
      <c r="J1639" s="488">
        <f t="shared" si="65"/>
        <v>24972.97297297297</v>
      </c>
      <c r="K1639" s="474">
        <v>252000</v>
      </c>
      <c r="L1639" s="475"/>
    </row>
    <row r="1640" spans="1:12" x14ac:dyDescent="0.2">
      <c r="A1640" s="517">
        <v>119</v>
      </c>
      <c r="B1640" s="469" t="s">
        <v>1966</v>
      </c>
      <c r="C1640" s="476" t="s">
        <v>6518</v>
      </c>
      <c r="D1640" s="464"/>
      <c r="E1640" s="465" t="s">
        <v>3076</v>
      </c>
      <c r="F1640" s="466" t="s">
        <v>3077</v>
      </c>
      <c r="G1640" s="464"/>
      <c r="H1640" s="477">
        <v>45194</v>
      </c>
      <c r="I1640" s="473">
        <f t="shared" si="64"/>
        <v>1657740.5405405404</v>
      </c>
      <c r="J1640" s="473">
        <f t="shared" si="65"/>
        <v>182351.45945945944</v>
      </c>
      <c r="K1640" s="474">
        <f>1582092+258000</f>
        <v>1840092</v>
      </c>
      <c r="L1640" s="475"/>
    </row>
    <row r="1641" spans="1:12" x14ac:dyDescent="0.2">
      <c r="A1641" s="517">
        <v>120</v>
      </c>
      <c r="B1641" s="485" t="s">
        <v>1967</v>
      </c>
      <c r="C1641" s="476" t="s">
        <v>6538</v>
      </c>
      <c r="D1641" s="464"/>
      <c r="E1641" s="465" t="s">
        <v>2934</v>
      </c>
      <c r="F1641" s="466" t="s">
        <v>2935</v>
      </c>
      <c r="G1641" s="464"/>
      <c r="H1641" s="477">
        <v>45195</v>
      </c>
      <c r="I1641" s="488">
        <f t="shared" si="64"/>
        <v>10035081.081081079</v>
      </c>
      <c r="J1641" s="488">
        <f t="shared" si="65"/>
        <v>1103858.9189189188</v>
      </c>
      <c r="K1641" s="474">
        <f>6481926+1110645+3546369</f>
        <v>11138940</v>
      </c>
      <c r="L1641" s="475"/>
    </row>
    <row r="1642" spans="1:12" x14ac:dyDescent="0.2">
      <c r="A1642" s="517">
        <v>121</v>
      </c>
      <c r="B1642" s="469" t="s">
        <v>1968</v>
      </c>
      <c r="C1642" s="476" t="s">
        <v>6519</v>
      </c>
      <c r="D1642" s="464"/>
      <c r="E1642" s="465" t="s">
        <v>5250</v>
      </c>
      <c r="F1642" s="466" t="s">
        <v>5251</v>
      </c>
      <c r="G1642" s="464"/>
      <c r="H1642" s="477">
        <v>45198</v>
      </c>
      <c r="I1642" s="473">
        <f t="shared" si="64"/>
        <v>437837.83783783781</v>
      </c>
      <c r="J1642" s="473">
        <f t="shared" si="65"/>
        <v>48162.16216216216</v>
      </c>
      <c r="K1642" s="474">
        <v>486000</v>
      </c>
      <c r="L1642" s="475"/>
    </row>
    <row r="1643" spans="1:12" x14ac:dyDescent="0.2">
      <c r="A1643" s="517">
        <v>122</v>
      </c>
      <c r="B1643" s="485" t="s">
        <v>1969</v>
      </c>
      <c r="C1643" s="476" t="s">
        <v>6520</v>
      </c>
      <c r="D1643" s="464"/>
      <c r="E1643" s="465" t="s">
        <v>3024</v>
      </c>
      <c r="F1643" s="466" t="s">
        <v>3025</v>
      </c>
      <c r="G1643" s="464"/>
      <c r="H1643" s="477">
        <v>45198</v>
      </c>
      <c r="I1643" s="488">
        <f t="shared" si="64"/>
        <v>254504.50450450447</v>
      </c>
      <c r="J1643" s="488">
        <f t="shared" si="65"/>
        <v>27995.495495495492</v>
      </c>
      <c r="K1643" s="474">
        <v>282500</v>
      </c>
      <c r="L1643" s="475"/>
    </row>
    <row r="1644" spans="1:12" x14ac:dyDescent="0.2">
      <c r="A1644" s="517">
        <v>123</v>
      </c>
      <c r="B1644" s="469" t="s">
        <v>1970</v>
      </c>
      <c r="C1644" s="476" t="s">
        <v>6521</v>
      </c>
      <c r="D1644" s="464"/>
      <c r="E1644" s="465" t="s">
        <v>2954</v>
      </c>
      <c r="F1644" s="466" t="s">
        <v>2955</v>
      </c>
      <c r="G1644" s="464"/>
      <c r="H1644" s="477">
        <v>45198</v>
      </c>
      <c r="I1644" s="473">
        <f t="shared" si="64"/>
        <v>1629275.6756756755</v>
      </c>
      <c r="J1644" s="473">
        <f t="shared" si="65"/>
        <v>179220.32432432432</v>
      </c>
      <c r="K1644" s="474">
        <v>1808496</v>
      </c>
      <c r="L1644" s="475"/>
    </row>
    <row r="1645" spans="1:12" x14ac:dyDescent="0.2">
      <c r="A1645" s="517">
        <v>124</v>
      </c>
      <c r="B1645" s="485" t="s">
        <v>1971</v>
      </c>
      <c r="C1645" s="476" t="s">
        <v>6523</v>
      </c>
      <c r="D1645" s="464"/>
      <c r="E1645" s="465" t="s">
        <v>3511</v>
      </c>
      <c r="F1645" s="466" t="s">
        <v>3512</v>
      </c>
      <c r="G1645" s="464"/>
      <c r="H1645" s="477">
        <v>45199</v>
      </c>
      <c r="I1645" s="488">
        <f t="shared" si="64"/>
        <v>7550976.5765765756</v>
      </c>
      <c r="J1645" s="488">
        <f t="shared" si="65"/>
        <v>830607.42342342332</v>
      </c>
      <c r="K1645" s="474">
        <f>1216000+7165584</f>
        <v>8381584</v>
      </c>
      <c r="L1645" s="475"/>
    </row>
    <row r="1646" spans="1:12" x14ac:dyDescent="0.2">
      <c r="A1646" s="517">
        <v>125</v>
      </c>
      <c r="B1646" s="469" t="s">
        <v>1972</v>
      </c>
      <c r="C1646" s="476" t="s">
        <v>6524</v>
      </c>
      <c r="D1646" s="464"/>
      <c r="E1646" s="465" t="s">
        <v>5604</v>
      </c>
      <c r="F1646" s="466" t="s">
        <v>3512</v>
      </c>
      <c r="G1646" s="464"/>
      <c r="H1646" s="477">
        <v>45199</v>
      </c>
      <c r="I1646" s="473">
        <f t="shared" si="64"/>
        <v>189189.18918918917</v>
      </c>
      <c r="J1646" s="473">
        <f t="shared" si="65"/>
        <v>20810.81081081081</v>
      </c>
      <c r="K1646" s="474">
        <v>210000</v>
      </c>
      <c r="L1646" s="475"/>
    </row>
    <row r="1647" spans="1:12" x14ac:dyDescent="0.2">
      <c r="A1647" s="517">
        <v>126</v>
      </c>
      <c r="B1647" s="485" t="s">
        <v>1973</v>
      </c>
      <c r="C1647" s="476" t="s">
        <v>6553</v>
      </c>
      <c r="D1647" s="464"/>
      <c r="E1647" s="465" t="s">
        <v>2898</v>
      </c>
      <c r="F1647" s="466" t="s">
        <v>2823</v>
      </c>
      <c r="G1647" s="464"/>
      <c r="H1647" s="477">
        <v>45178</v>
      </c>
      <c r="I1647" s="488">
        <f t="shared" si="64"/>
        <v>22088270.270270269</v>
      </c>
      <c r="J1647" s="488">
        <f t="shared" si="65"/>
        <v>2429709.7297297297</v>
      </c>
      <c r="K1647" s="474">
        <f>15131448+2031480+7355052</f>
        <v>24517980</v>
      </c>
      <c r="L1647" s="475"/>
    </row>
    <row r="1648" spans="1:12" x14ac:dyDescent="0.2">
      <c r="A1648" s="517">
        <v>127</v>
      </c>
      <c r="B1648" s="469" t="s">
        <v>1974</v>
      </c>
      <c r="C1648" s="476" t="s">
        <v>6527</v>
      </c>
      <c r="D1648" s="464"/>
      <c r="E1648" s="465" t="s">
        <v>2958</v>
      </c>
      <c r="F1648" s="466" t="s">
        <v>2823</v>
      </c>
      <c r="G1648" s="464"/>
      <c r="H1648" s="477">
        <v>45180</v>
      </c>
      <c r="I1648" s="473">
        <f t="shared" si="64"/>
        <v>4586035.1351351347</v>
      </c>
      <c r="J1648" s="473">
        <f t="shared" si="65"/>
        <v>504463.86486486479</v>
      </c>
      <c r="K1648" s="474">
        <v>5090499</v>
      </c>
      <c r="L1648" s="475"/>
    </row>
    <row r="1649" spans="1:12" x14ac:dyDescent="0.2">
      <c r="A1649" s="517">
        <v>128</v>
      </c>
      <c r="B1649" s="485" t="s">
        <v>1975</v>
      </c>
      <c r="C1649" s="480" t="s">
        <v>6530</v>
      </c>
      <c r="D1649" s="481"/>
      <c r="E1649" s="482" t="s">
        <v>2900</v>
      </c>
      <c r="F1649" s="483" t="s">
        <v>2823</v>
      </c>
      <c r="G1649" s="513"/>
      <c r="H1649" s="484">
        <v>45187</v>
      </c>
      <c r="I1649" s="488">
        <f t="shared" si="64"/>
        <v>56240975.675675668</v>
      </c>
      <c r="J1649" s="488">
        <f t="shared" si="65"/>
        <v>6186507.3243243238</v>
      </c>
      <c r="K1649" s="474">
        <f>53123715+9303768</f>
        <v>62427483</v>
      </c>
      <c r="L1649" s="475"/>
    </row>
    <row r="1650" spans="1:12" x14ac:dyDescent="0.2">
      <c r="A1650" s="517">
        <v>129</v>
      </c>
      <c r="B1650" s="469" t="s">
        <v>1976</v>
      </c>
      <c r="C1650" s="476" t="s">
        <v>6529</v>
      </c>
      <c r="D1650" s="464"/>
      <c r="E1650" s="471" t="s">
        <v>2947</v>
      </c>
      <c r="F1650" s="471" t="s">
        <v>2823</v>
      </c>
      <c r="G1650" s="464"/>
      <c r="H1650" s="477">
        <v>45190</v>
      </c>
      <c r="I1650" s="473">
        <f t="shared" si="64"/>
        <v>5052356.7567567565</v>
      </c>
      <c r="J1650" s="473">
        <f t="shared" si="65"/>
        <v>555759.2432432432</v>
      </c>
      <c r="K1650" s="474">
        <v>5608116</v>
      </c>
      <c r="L1650" s="475"/>
    </row>
    <row r="1651" spans="1:12" x14ac:dyDescent="0.2">
      <c r="A1651" s="517">
        <v>130</v>
      </c>
      <c r="B1651" s="485" t="s">
        <v>1977</v>
      </c>
      <c r="C1651" s="476" t="s">
        <v>6531</v>
      </c>
      <c r="D1651" s="464"/>
      <c r="E1651" s="465" t="s">
        <v>2937</v>
      </c>
      <c r="F1651" s="466" t="s">
        <v>2823</v>
      </c>
      <c r="G1651" s="464"/>
      <c r="H1651" s="477">
        <v>45198</v>
      </c>
      <c r="I1651" s="488">
        <f t="shared" ref="I1651:I1672" si="66">K1651/1.11</f>
        <v>14752216.216216214</v>
      </c>
      <c r="J1651" s="488">
        <f t="shared" ref="J1651:J1672" si="67">I1651*11%</f>
        <v>1622743.7837837834</v>
      </c>
      <c r="K1651" s="474">
        <v>16374960</v>
      </c>
      <c r="L1651" s="475"/>
    </row>
    <row r="1652" spans="1:12" x14ac:dyDescent="0.2">
      <c r="A1652" s="517">
        <v>131</v>
      </c>
      <c r="B1652" s="469" t="s">
        <v>1978</v>
      </c>
      <c r="C1652" s="476" t="s">
        <v>6535</v>
      </c>
      <c r="D1652" s="464"/>
      <c r="E1652" s="465" t="s">
        <v>2936</v>
      </c>
      <c r="F1652" s="466" t="s">
        <v>2922</v>
      </c>
      <c r="G1652" s="464"/>
      <c r="H1652" s="477">
        <v>45198</v>
      </c>
      <c r="I1652" s="473">
        <f t="shared" si="66"/>
        <v>1830162.1621621619</v>
      </c>
      <c r="J1652" s="473">
        <f t="shared" si="67"/>
        <v>201317.83783783781</v>
      </c>
      <c r="K1652" s="474">
        <v>2031480</v>
      </c>
      <c r="L1652" s="475"/>
    </row>
    <row r="1653" spans="1:12" x14ac:dyDescent="0.2">
      <c r="A1653" s="517">
        <v>132</v>
      </c>
      <c r="B1653" s="485" t="s">
        <v>1979</v>
      </c>
      <c r="C1653" s="476" t="s">
        <v>6537</v>
      </c>
      <c r="D1653" s="464"/>
      <c r="E1653" s="465" t="s">
        <v>2907</v>
      </c>
      <c r="F1653" s="466" t="s">
        <v>2858</v>
      </c>
      <c r="G1653" s="464"/>
      <c r="H1653" s="477">
        <v>45198</v>
      </c>
      <c r="I1653" s="488">
        <f t="shared" si="66"/>
        <v>1830162.1621621619</v>
      </c>
      <c r="J1653" s="488">
        <f t="shared" si="67"/>
        <v>201317.83783783781</v>
      </c>
      <c r="K1653" s="474">
        <v>2031480</v>
      </c>
      <c r="L1653" s="475"/>
    </row>
    <row r="1654" spans="1:12" x14ac:dyDescent="0.2">
      <c r="A1654" s="517">
        <v>133</v>
      </c>
      <c r="B1654" s="469" t="s">
        <v>1980</v>
      </c>
      <c r="C1654" s="476" t="s">
        <v>6539</v>
      </c>
      <c r="D1654" s="464"/>
      <c r="E1654" s="465" t="s">
        <v>2939</v>
      </c>
      <c r="F1654" s="466" t="s">
        <v>2940</v>
      </c>
      <c r="G1654" s="464"/>
      <c r="H1654" s="477">
        <v>45199</v>
      </c>
      <c r="I1654" s="473">
        <f t="shared" si="66"/>
        <v>2196194.5945945946</v>
      </c>
      <c r="J1654" s="473">
        <f t="shared" si="67"/>
        <v>241581.40540540541</v>
      </c>
      <c r="K1654" s="474">
        <v>2437776</v>
      </c>
      <c r="L1654" s="475"/>
    </row>
    <row r="1655" spans="1:12" x14ac:dyDescent="0.2">
      <c r="A1655" s="517">
        <v>134</v>
      </c>
      <c r="B1655" s="485" t="s">
        <v>1981</v>
      </c>
      <c r="C1655" s="476" t="s">
        <v>6542</v>
      </c>
      <c r="D1655" s="464"/>
      <c r="E1655" s="465" t="s">
        <v>3146</v>
      </c>
      <c r="F1655" s="466" t="s">
        <v>3147</v>
      </c>
      <c r="G1655" s="464"/>
      <c r="H1655" s="477">
        <v>45199</v>
      </c>
      <c r="I1655" s="488">
        <f t="shared" si="66"/>
        <v>916486.48648648639</v>
      </c>
      <c r="J1655" s="488">
        <f t="shared" si="67"/>
        <v>100813.51351351351</v>
      </c>
      <c r="K1655" s="474">
        <f>453000+564300</f>
        <v>1017300</v>
      </c>
      <c r="L1655" s="475"/>
    </row>
    <row r="1656" spans="1:12" x14ac:dyDescent="0.2">
      <c r="A1656" s="517">
        <v>135</v>
      </c>
      <c r="B1656" s="469" t="s">
        <v>1982</v>
      </c>
      <c r="C1656" s="476" t="s">
        <v>6545</v>
      </c>
      <c r="D1656" s="464"/>
      <c r="E1656" s="465" t="s">
        <v>2893</v>
      </c>
      <c r="F1656" s="466" t="s">
        <v>2890</v>
      </c>
      <c r="G1656" s="464"/>
      <c r="H1656" s="477">
        <v>45199</v>
      </c>
      <c r="I1656" s="473">
        <f t="shared" si="66"/>
        <v>5587540.5405405397</v>
      </c>
      <c r="J1656" s="473">
        <f t="shared" si="67"/>
        <v>614629.45945945941</v>
      </c>
      <c r="K1656" s="474">
        <v>6202170</v>
      </c>
      <c r="L1656" s="475"/>
    </row>
    <row r="1657" spans="1:12" x14ac:dyDescent="0.2">
      <c r="A1657" s="517">
        <v>136</v>
      </c>
      <c r="B1657" s="485" t="s">
        <v>1983</v>
      </c>
      <c r="C1657" s="476" t="s">
        <v>6547</v>
      </c>
      <c r="D1657" s="464"/>
      <c r="E1657" s="465" t="s">
        <v>2934</v>
      </c>
      <c r="F1657" s="466" t="s">
        <v>2935</v>
      </c>
      <c r="G1657" s="464"/>
      <c r="H1657" s="477">
        <v>45199</v>
      </c>
      <c r="I1657" s="488">
        <f t="shared" si="66"/>
        <v>12249916.216216216</v>
      </c>
      <c r="J1657" s="488">
        <f t="shared" si="67"/>
        <v>1347490.7837837837</v>
      </c>
      <c r="K1657" s="474">
        <v>13597407</v>
      </c>
      <c r="L1657" s="475"/>
    </row>
    <row r="1658" spans="1:12" x14ac:dyDescent="0.2">
      <c r="A1658" s="517">
        <v>137</v>
      </c>
      <c r="B1658" s="469" t="s">
        <v>1984</v>
      </c>
      <c r="C1658" s="476" t="s">
        <v>6548</v>
      </c>
      <c r="D1658" s="464"/>
      <c r="E1658" s="465" t="s">
        <v>2945</v>
      </c>
      <c r="F1658" s="466" t="s">
        <v>2946</v>
      </c>
      <c r="G1658" s="464"/>
      <c r="H1658" s="477">
        <v>45199</v>
      </c>
      <c r="I1658" s="473">
        <f t="shared" si="66"/>
        <v>2994810.8108108104</v>
      </c>
      <c r="J1658" s="473">
        <f t="shared" si="67"/>
        <v>329429.18918918917</v>
      </c>
      <c r="K1658" s="474">
        <v>3324240</v>
      </c>
      <c r="L1658" s="475"/>
    </row>
    <row r="1659" spans="1:12" x14ac:dyDescent="0.2">
      <c r="A1659" s="517">
        <v>138</v>
      </c>
      <c r="B1659" s="485" t="s">
        <v>1985</v>
      </c>
      <c r="C1659" s="476" t="s">
        <v>6549</v>
      </c>
      <c r="D1659" s="464"/>
      <c r="E1659" s="465" t="s">
        <v>2993</v>
      </c>
      <c r="F1659" s="466" t="s">
        <v>2994</v>
      </c>
      <c r="G1659" s="464"/>
      <c r="H1659" s="477">
        <v>45199</v>
      </c>
      <c r="I1659" s="488">
        <f t="shared" si="66"/>
        <v>2296021.6216216213</v>
      </c>
      <c r="J1659" s="488">
        <f t="shared" si="67"/>
        <v>252562.37837837834</v>
      </c>
      <c r="K1659" s="474">
        <v>2548584</v>
      </c>
      <c r="L1659" s="475"/>
    </row>
    <row r="1660" spans="1:12" x14ac:dyDescent="0.2">
      <c r="A1660" s="517">
        <v>139</v>
      </c>
      <c r="B1660" s="469" t="s">
        <v>1986</v>
      </c>
      <c r="C1660" s="480" t="s">
        <v>6552</v>
      </c>
      <c r="D1660" s="481"/>
      <c r="E1660" s="482" t="s">
        <v>2904</v>
      </c>
      <c r="F1660" s="483" t="s">
        <v>2905</v>
      </c>
      <c r="G1660" s="513"/>
      <c r="H1660" s="484">
        <v>45181</v>
      </c>
      <c r="I1660" s="473">
        <f t="shared" si="66"/>
        <v>2849099.0990990987</v>
      </c>
      <c r="J1660" s="473">
        <f t="shared" si="67"/>
        <v>313400.90090090089</v>
      </c>
      <c r="K1660" s="474">
        <v>3162500</v>
      </c>
      <c r="L1660" s="475"/>
    </row>
    <row r="1661" spans="1:12" x14ac:dyDescent="0.2">
      <c r="A1661" s="517">
        <v>140</v>
      </c>
      <c r="B1661" s="485" t="s">
        <v>1987</v>
      </c>
      <c r="C1661" s="476" t="s">
        <v>6555</v>
      </c>
      <c r="D1661" s="464"/>
      <c r="E1661" s="465" t="s">
        <v>6554</v>
      </c>
      <c r="F1661" s="466" t="s">
        <v>3609</v>
      </c>
      <c r="G1661" s="464"/>
      <c r="H1661" s="477">
        <v>45174</v>
      </c>
      <c r="I1661" s="488">
        <f t="shared" si="66"/>
        <v>3629243.2432432431</v>
      </c>
      <c r="J1661" s="488">
        <f t="shared" si="67"/>
        <v>399216.75675675675</v>
      </c>
      <c r="K1661" s="474">
        <f>1080460+66000+305000+626000+1242000+66000+192000+44000+44000+126000+66000+66000+105000</f>
        <v>4028460</v>
      </c>
      <c r="L1661" s="475"/>
    </row>
    <row r="1662" spans="1:12" x14ac:dyDescent="0.2">
      <c r="A1662" s="517">
        <v>141</v>
      </c>
      <c r="B1662" s="469" t="s">
        <v>1988</v>
      </c>
      <c r="C1662" s="476" t="s">
        <v>6556</v>
      </c>
      <c r="D1662" s="464"/>
      <c r="E1662" s="465" t="s">
        <v>3605</v>
      </c>
      <c r="F1662" s="466" t="s">
        <v>2915</v>
      </c>
      <c r="G1662" s="464"/>
      <c r="H1662" s="477">
        <v>45188</v>
      </c>
      <c r="I1662" s="473">
        <f t="shared" si="66"/>
        <v>50175299.999999993</v>
      </c>
      <c r="J1662" s="473">
        <f t="shared" si="67"/>
        <v>5519282.9999999991</v>
      </c>
      <c r="K1662" s="474">
        <f>41795991+13898592</f>
        <v>55694583</v>
      </c>
      <c r="L1662" s="475"/>
    </row>
    <row r="1663" spans="1:12" x14ac:dyDescent="0.2">
      <c r="A1663" s="517">
        <v>142</v>
      </c>
      <c r="B1663" s="485" t="s">
        <v>1989</v>
      </c>
      <c r="C1663" s="476" t="s">
        <v>6557</v>
      </c>
      <c r="D1663" s="464"/>
      <c r="E1663" s="465" t="s">
        <v>3605</v>
      </c>
      <c r="F1663" s="466" t="s">
        <v>2915</v>
      </c>
      <c r="G1663" s="464"/>
      <c r="H1663" s="477">
        <v>45198</v>
      </c>
      <c r="I1663" s="488">
        <f t="shared" si="66"/>
        <v>13792767.567567566</v>
      </c>
      <c r="J1663" s="488">
        <f t="shared" si="67"/>
        <v>1517204.4324324324</v>
      </c>
      <c r="K1663" s="474">
        <v>15309972</v>
      </c>
      <c r="L1663" s="475"/>
    </row>
    <row r="1664" spans="1:12" x14ac:dyDescent="0.2">
      <c r="A1664" s="517">
        <v>143</v>
      </c>
      <c r="B1664" s="469" t="s">
        <v>1990</v>
      </c>
      <c r="C1664" s="476" t="s">
        <v>6558</v>
      </c>
      <c r="D1664" s="464"/>
      <c r="E1664" s="465" t="s">
        <v>3605</v>
      </c>
      <c r="F1664" s="466" t="s">
        <v>2915</v>
      </c>
      <c r="G1664" s="464"/>
      <c r="H1664" s="477">
        <v>45199</v>
      </c>
      <c r="I1664" s="473">
        <f t="shared" si="66"/>
        <v>4275924.3243243238</v>
      </c>
      <c r="J1664" s="473">
        <f t="shared" si="67"/>
        <v>470351.67567567562</v>
      </c>
      <c r="K1664" s="474">
        <v>4746276</v>
      </c>
      <c r="L1664" s="475"/>
    </row>
    <row r="1665" spans="1:12" x14ac:dyDescent="0.2">
      <c r="A1665" s="517">
        <v>144</v>
      </c>
      <c r="B1665" s="485" t="s">
        <v>1991</v>
      </c>
      <c r="C1665" s="480" t="s">
        <v>6559</v>
      </c>
      <c r="D1665" s="481"/>
      <c r="E1665" s="482" t="s">
        <v>6560</v>
      </c>
      <c r="F1665" s="483" t="s">
        <v>3609</v>
      </c>
      <c r="G1665" s="513"/>
      <c r="H1665" s="484">
        <v>45175</v>
      </c>
      <c r="I1665" s="488">
        <f t="shared" si="66"/>
        <v>3549549.5495495494</v>
      </c>
      <c r="J1665" s="488">
        <f t="shared" si="67"/>
        <v>390450.45045045041</v>
      </c>
      <c r="K1665" s="474">
        <f>140000+3800000</f>
        <v>3940000</v>
      </c>
      <c r="L1665" s="475"/>
    </row>
    <row r="1666" spans="1:12" x14ac:dyDescent="0.2">
      <c r="A1666" s="517">
        <v>145</v>
      </c>
      <c r="B1666" s="469" t="s">
        <v>1992</v>
      </c>
      <c r="C1666" s="476" t="s">
        <v>6569</v>
      </c>
      <c r="D1666" s="464"/>
      <c r="E1666" s="465" t="s">
        <v>3612</v>
      </c>
      <c r="F1666" s="466" t="s">
        <v>3609</v>
      </c>
      <c r="G1666" s="464"/>
      <c r="H1666" s="477">
        <v>45187</v>
      </c>
      <c r="I1666" s="473">
        <f t="shared" si="66"/>
        <v>33396479.279279277</v>
      </c>
      <c r="J1666" s="473">
        <f t="shared" si="67"/>
        <v>3673612.7207207205</v>
      </c>
      <c r="K1666" s="474">
        <f>1746000+319438+169654+35000000-165000</f>
        <v>37070092</v>
      </c>
      <c r="L1666" s="475"/>
    </row>
    <row r="1667" spans="1:12" x14ac:dyDescent="0.2">
      <c r="A1667" s="517">
        <v>146</v>
      </c>
      <c r="B1667" s="485" t="s">
        <v>1993</v>
      </c>
      <c r="C1667" s="476" t="s">
        <v>6561</v>
      </c>
      <c r="D1667" s="464"/>
      <c r="E1667" s="465" t="s">
        <v>5866</v>
      </c>
      <c r="F1667" s="466" t="s">
        <v>3609</v>
      </c>
      <c r="G1667" s="464"/>
      <c r="H1667" s="477">
        <v>45192</v>
      </c>
      <c r="I1667" s="488">
        <f t="shared" si="66"/>
        <v>9495495.4954954945</v>
      </c>
      <c r="J1667" s="488">
        <f t="shared" si="67"/>
        <v>1044504.5045045044</v>
      </c>
      <c r="K1667" s="474">
        <f>540000+10000000</f>
        <v>10540000</v>
      </c>
      <c r="L1667" s="475"/>
    </row>
    <row r="1668" spans="1:12" x14ac:dyDescent="0.2">
      <c r="A1668" s="517">
        <v>147</v>
      </c>
      <c r="B1668" s="469" t="s">
        <v>1994</v>
      </c>
      <c r="C1668" s="476" t="s">
        <v>6562</v>
      </c>
      <c r="D1668" s="464"/>
      <c r="E1668" s="465" t="s">
        <v>4578</v>
      </c>
      <c r="F1668" s="466" t="s">
        <v>3609</v>
      </c>
      <c r="G1668" s="464"/>
      <c r="H1668" s="477">
        <v>45176</v>
      </c>
      <c r="I1668" s="473">
        <f t="shared" si="66"/>
        <v>916216.2162162161</v>
      </c>
      <c r="J1668" s="473">
        <f t="shared" si="67"/>
        <v>100783.78378378377</v>
      </c>
      <c r="K1668" s="474">
        <v>1017000</v>
      </c>
      <c r="L1668" s="475"/>
    </row>
    <row r="1669" spans="1:12" x14ac:dyDescent="0.2">
      <c r="A1669" s="517">
        <v>148</v>
      </c>
      <c r="B1669" s="485" t="s">
        <v>1995</v>
      </c>
      <c r="C1669" s="476" t="s">
        <v>6563</v>
      </c>
      <c r="D1669" s="464"/>
      <c r="E1669" s="465" t="s">
        <v>6554</v>
      </c>
      <c r="F1669" s="466" t="s">
        <v>3609</v>
      </c>
      <c r="G1669" s="464"/>
      <c r="H1669" s="477">
        <v>45180</v>
      </c>
      <c r="I1669" s="488">
        <f t="shared" si="66"/>
        <v>1486216.2162162161</v>
      </c>
      <c r="J1669" s="488">
        <f t="shared" si="67"/>
        <v>163483.78378378376</v>
      </c>
      <c r="K1669" s="474">
        <f>448500+1201200</f>
        <v>1649700</v>
      </c>
      <c r="L1669" s="475"/>
    </row>
    <row r="1670" spans="1:12" x14ac:dyDescent="0.2">
      <c r="A1670" s="517">
        <v>149</v>
      </c>
      <c r="B1670" s="469" t="s">
        <v>1996</v>
      </c>
      <c r="C1670" s="476" t="s">
        <v>6564</v>
      </c>
      <c r="D1670" s="464"/>
      <c r="E1670" s="465" t="s">
        <v>6554</v>
      </c>
      <c r="F1670" s="466" t="s">
        <v>3609</v>
      </c>
      <c r="G1670" s="464"/>
      <c r="H1670" s="477">
        <v>45183</v>
      </c>
      <c r="I1670" s="473">
        <f t="shared" si="66"/>
        <v>11285990.990990991</v>
      </c>
      <c r="J1670" s="473">
        <f t="shared" si="67"/>
        <v>1241459.009009009</v>
      </c>
      <c r="K1670" s="474">
        <f>1663200+871500+380000+1449000+2075850+3552000+1036500+1499400</f>
        <v>12527450</v>
      </c>
      <c r="L1670" s="475"/>
    </row>
    <row r="1671" spans="1:12" x14ac:dyDescent="0.2">
      <c r="A1671" s="517">
        <v>150</v>
      </c>
      <c r="B1671" s="485" t="s">
        <v>1997</v>
      </c>
      <c r="C1671" s="476" t="s">
        <v>6565</v>
      </c>
      <c r="D1671" s="464"/>
      <c r="E1671" s="465" t="s">
        <v>3612</v>
      </c>
      <c r="F1671" s="466" t="s">
        <v>3609</v>
      </c>
      <c r="G1671" s="464"/>
      <c r="H1671" s="477">
        <v>45192</v>
      </c>
      <c r="I1671" s="488">
        <f t="shared" si="66"/>
        <v>35207322.522522517</v>
      </c>
      <c r="J1671" s="488">
        <f t="shared" si="67"/>
        <v>3872805.4774774769</v>
      </c>
      <c r="K1671" s="474">
        <v>39080128</v>
      </c>
      <c r="L1671" s="475"/>
    </row>
    <row r="1672" spans="1:12" x14ac:dyDescent="0.2">
      <c r="A1672" s="517">
        <v>151</v>
      </c>
      <c r="B1672" s="469" t="s">
        <v>1998</v>
      </c>
      <c r="C1672" s="476" t="s">
        <v>6566</v>
      </c>
      <c r="D1672" s="464"/>
      <c r="E1672" s="465" t="s">
        <v>3612</v>
      </c>
      <c r="F1672" s="466" t="s">
        <v>3609</v>
      </c>
      <c r="G1672" s="464"/>
      <c r="H1672" s="477">
        <v>45199</v>
      </c>
      <c r="I1672" s="473">
        <f t="shared" si="66"/>
        <v>34285063.963963963</v>
      </c>
      <c r="J1672" s="473">
        <f t="shared" si="67"/>
        <v>3771357.036036036</v>
      </c>
      <c r="K1672" s="474">
        <v>38056421</v>
      </c>
      <c r="L1672" s="475"/>
    </row>
    <row r="1673" spans="1:12" ht="18" x14ac:dyDescent="0.25">
      <c r="B1673" s="490" t="s">
        <v>288</v>
      </c>
      <c r="C1673" s="491"/>
      <c r="D1673" s="492"/>
      <c r="E1673" s="493"/>
      <c r="F1673" s="494"/>
      <c r="G1673" s="514"/>
      <c r="H1673" s="495"/>
      <c r="I1673" s="496">
        <f>SUM(I1522:I1672)</f>
        <v>1097867290.09009</v>
      </c>
      <c r="J1673" s="496">
        <f>SUM(J1522:J1672)</f>
        <v>120765401.90990986</v>
      </c>
      <c r="K1673" s="496">
        <f>SUM(K1522:K1672)</f>
        <v>1218632692</v>
      </c>
      <c r="L1673" s="497"/>
    </row>
    <row r="1674" spans="1:12" s="352" customFormat="1" ht="20.25" x14ac:dyDescent="0.3">
      <c r="A1674" s="305"/>
      <c r="B1674" s="498" t="s">
        <v>107</v>
      </c>
      <c r="C1674" s="486"/>
      <c r="D1674" s="487"/>
      <c r="E1674" s="487"/>
      <c r="F1674" s="487"/>
      <c r="G1674" s="487"/>
      <c r="H1674" s="499"/>
      <c r="I1674" s="500"/>
      <c r="J1674" s="500"/>
      <c r="K1674" s="501"/>
      <c r="L1674" s="502"/>
    </row>
    <row r="1675" spans="1:12" s="520" customFormat="1" x14ac:dyDescent="0.2">
      <c r="A1675" s="517">
        <v>1</v>
      </c>
      <c r="B1675" s="485" t="s">
        <v>1999</v>
      </c>
      <c r="C1675" s="486" t="s">
        <v>6612</v>
      </c>
      <c r="D1675" s="487" t="s">
        <v>2790</v>
      </c>
      <c r="E1675" s="503" t="s">
        <v>2791</v>
      </c>
      <c r="F1675" s="504" t="s">
        <v>2792</v>
      </c>
      <c r="G1675" s="518" t="s">
        <v>5136</v>
      </c>
      <c r="H1675" s="519">
        <v>45204</v>
      </c>
      <c r="I1675" s="488">
        <f>K1675/1.11</f>
        <v>1629189.1891891891</v>
      </c>
      <c r="J1675" s="488">
        <f>I1675*11%</f>
        <v>179210.8108108108</v>
      </c>
      <c r="K1675" s="489">
        <v>1808400</v>
      </c>
      <c r="L1675" s="547"/>
    </row>
    <row r="1676" spans="1:12" s="520" customFormat="1" x14ac:dyDescent="0.2">
      <c r="A1676" s="517">
        <v>2</v>
      </c>
      <c r="B1676" s="469" t="s">
        <v>2000</v>
      </c>
      <c r="C1676" s="470" t="s">
        <v>6613</v>
      </c>
      <c r="D1676" s="511" t="s">
        <v>2773</v>
      </c>
      <c r="E1676" s="465" t="s">
        <v>2774</v>
      </c>
      <c r="F1676" s="510" t="s">
        <v>2755</v>
      </c>
      <c r="G1676" s="518" t="s">
        <v>5137</v>
      </c>
      <c r="H1676" s="519">
        <v>45205</v>
      </c>
      <c r="I1676" s="473">
        <f>K1676/1.11</f>
        <v>427927.92792792787</v>
      </c>
      <c r="J1676" s="473">
        <f>I1676*11%</f>
        <v>47072.072072072064</v>
      </c>
      <c r="K1676" s="474">
        <v>475000</v>
      </c>
      <c r="L1676" s="475"/>
    </row>
    <row r="1677" spans="1:12" s="520" customFormat="1" x14ac:dyDescent="0.2">
      <c r="A1677" s="517">
        <v>3</v>
      </c>
      <c r="B1677" s="485" t="s">
        <v>2001</v>
      </c>
      <c r="C1677" s="476" t="s">
        <v>6614</v>
      </c>
      <c r="D1677" s="464" t="s">
        <v>2779</v>
      </c>
      <c r="E1677" s="471" t="s">
        <v>2780</v>
      </c>
      <c r="F1677" s="471" t="s">
        <v>2755</v>
      </c>
      <c r="G1677" s="518" t="s">
        <v>5138</v>
      </c>
      <c r="H1677" s="519">
        <v>45205</v>
      </c>
      <c r="I1677" s="488">
        <f t="shared" ref="I1677:I1740" si="68">K1677/1.11</f>
        <v>764756.75675675669</v>
      </c>
      <c r="J1677" s="488">
        <f t="shared" ref="J1677:J1740" si="69">I1677*11%</f>
        <v>84123.24324324324</v>
      </c>
      <c r="K1677" s="474">
        <v>848880</v>
      </c>
      <c r="L1677" s="475"/>
    </row>
    <row r="1678" spans="1:12" s="520" customFormat="1" x14ac:dyDescent="0.2">
      <c r="A1678" s="517">
        <v>4</v>
      </c>
      <c r="B1678" s="469" t="s">
        <v>2002</v>
      </c>
      <c r="C1678" s="476" t="s">
        <v>6615</v>
      </c>
      <c r="D1678" s="464" t="s">
        <v>2758</v>
      </c>
      <c r="E1678" s="708" t="s">
        <v>2759</v>
      </c>
      <c r="F1678" s="466" t="s">
        <v>2755</v>
      </c>
      <c r="G1678" s="518" t="s">
        <v>5139</v>
      </c>
      <c r="H1678" s="519">
        <v>45205</v>
      </c>
      <c r="I1678" s="473">
        <f t="shared" si="68"/>
        <v>17674648.648648646</v>
      </c>
      <c r="J1678" s="473">
        <f t="shared" si="69"/>
        <v>1944211.351351351</v>
      </c>
      <c r="K1678" s="474">
        <v>19618860</v>
      </c>
      <c r="L1678" s="475"/>
    </row>
    <row r="1679" spans="1:12" s="520" customFormat="1" x14ac:dyDescent="0.2">
      <c r="A1679" s="517">
        <v>5</v>
      </c>
      <c r="B1679" s="485" t="s">
        <v>2003</v>
      </c>
      <c r="C1679" s="476" t="s">
        <v>6616</v>
      </c>
      <c r="D1679" s="464" t="s">
        <v>2783</v>
      </c>
      <c r="E1679" s="465" t="s">
        <v>2784</v>
      </c>
      <c r="F1679" s="466" t="s">
        <v>2785</v>
      </c>
      <c r="G1679" s="518" t="s">
        <v>5140</v>
      </c>
      <c r="H1679" s="519">
        <v>45206</v>
      </c>
      <c r="I1679" s="488">
        <f t="shared" si="68"/>
        <v>2690270.2702702698</v>
      </c>
      <c r="J1679" s="488">
        <f t="shared" si="69"/>
        <v>295929.7297297297</v>
      </c>
      <c r="K1679" s="474">
        <v>2986200</v>
      </c>
      <c r="L1679" s="475"/>
    </row>
    <row r="1680" spans="1:12" s="520" customFormat="1" x14ac:dyDescent="0.2">
      <c r="A1680" s="517">
        <v>6</v>
      </c>
      <c r="B1680" s="469" t="s">
        <v>2004</v>
      </c>
      <c r="C1680" s="476" t="s">
        <v>6617</v>
      </c>
      <c r="D1680" s="464" t="s">
        <v>2856</v>
      </c>
      <c r="E1680" s="465" t="s">
        <v>2857</v>
      </c>
      <c r="F1680" s="466" t="s">
        <v>2858</v>
      </c>
      <c r="G1680" s="518" t="s">
        <v>5141</v>
      </c>
      <c r="H1680" s="519">
        <v>45208</v>
      </c>
      <c r="I1680" s="473">
        <f t="shared" si="68"/>
        <v>97297.297297297293</v>
      </c>
      <c r="J1680" s="473">
        <f t="shared" si="69"/>
        <v>10702.702702702702</v>
      </c>
      <c r="K1680" s="474">
        <v>108000</v>
      </c>
      <c r="L1680" s="475"/>
    </row>
    <row r="1681" spans="1:12" s="520" customFormat="1" x14ac:dyDescent="0.2">
      <c r="A1681" s="517">
        <v>7</v>
      </c>
      <c r="B1681" s="485" t="s">
        <v>2005</v>
      </c>
      <c r="C1681" s="476" t="s">
        <v>6618</v>
      </c>
      <c r="D1681" s="487" t="s">
        <v>2790</v>
      </c>
      <c r="E1681" s="503" t="s">
        <v>2791</v>
      </c>
      <c r="F1681" s="504" t="s">
        <v>2792</v>
      </c>
      <c r="G1681" s="518" t="s">
        <v>5142</v>
      </c>
      <c r="H1681" s="519">
        <v>45208</v>
      </c>
      <c r="I1681" s="488">
        <f t="shared" si="68"/>
        <v>1408783.7837837837</v>
      </c>
      <c r="J1681" s="488">
        <f t="shared" si="69"/>
        <v>154966.21621621621</v>
      </c>
      <c r="K1681" s="474">
        <v>1563750</v>
      </c>
      <c r="L1681" s="475"/>
    </row>
    <row r="1682" spans="1:12" s="520" customFormat="1" x14ac:dyDescent="0.2">
      <c r="A1682" s="517">
        <v>8</v>
      </c>
      <c r="B1682" s="469" t="s">
        <v>2006</v>
      </c>
      <c r="C1682" s="476" t="s">
        <v>6619</v>
      </c>
      <c r="D1682" s="464" t="s">
        <v>2758</v>
      </c>
      <c r="E1682" s="708" t="s">
        <v>2759</v>
      </c>
      <c r="F1682" s="466" t="s">
        <v>2755</v>
      </c>
      <c r="G1682" s="518" t="s">
        <v>5143</v>
      </c>
      <c r="H1682" s="519">
        <v>45208</v>
      </c>
      <c r="I1682" s="473">
        <f t="shared" si="68"/>
        <v>21848497.297297295</v>
      </c>
      <c r="J1682" s="473">
        <f t="shared" si="69"/>
        <v>2403334.7027027025</v>
      </c>
      <c r="K1682" s="474">
        <v>24251832</v>
      </c>
      <c r="L1682" s="475"/>
    </row>
    <row r="1683" spans="1:12" s="520" customFormat="1" x14ac:dyDescent="0.2">
      <c r="A1683" s="517">
        <v>9</v>
      </c>
      <c r="B1683" s="485" t="s">
        <v>2007</v>
      </c>
      <c r="C1683" s="476" t="s">
        <v>6620</v>
      </c>
      <c r="D1683" s="464" t="s">
        <v>2783</v>
      </c>
      <c r="E1683" s="465" t="s">
        <v>2784</v>
      </c>
      <c r="F1683" s="466" t="s">
        <v>2785</v>
      </c>
      <c r="G1683" s="518" t="s">
        <v>5144</v>
      </c>
      <c r="H1683" s="519">
        <v>45210</v>
      </c>
      <c r="I1683" s="488">
        <f t="shared" si="68"/>
        <v>25131891.891891889</v>
      </c>
      <c r="J1683" s="488">
        <f t="shared" si="69"/>
        <v>2764508.1081081079</v>
      </c>
      <c r="K1683" s="474">
        <v>27896400</v>
      </c>
      <c r="L1683" s="475"/>
    </row>
    <row r="1684" spans="1:12" s="520" customFormat="1" ht="14.25" customHeight="1" x14ac:dyDescent="0.2">
      <c r="A1684" s="517">
        <v>10</v>
      </c>
      <c r="B1684" s="469" t="s">
        <v>2008</v>
      </c>
      <c r="C1684" s="476" t="s">
        <v>6657</v>
      </c>
      <c r="D1684" s="487" t="s">
        <v>2790</v>
      </c>
      <c r="E1684" s="503" t="s">
        <v>2791</v>
      </c>
      <c r="F1684" s="504" t="s">
        <v>2792</v>
      </c>
      <c r="G1684" s="518" t="s">
        <v>5145</v>
      </c>
      <c r="H1684" s="519">
        <v>45213</v>
      </c>
      <c r="I1684" s="473">
        <f t="shared" si="68"/>
        <v>1097081.0810810809</v>
      </c>
      <c r="J1684" s="473">
        <f t="shared" si="69"/>
        <v>120678.91891891891</v>
      </c>
      <c r="K1684" s="474">
        <v>1217760</v>
      </c>
      <c r="L1684" s="475"/>
    </row>
    <row r="1685" spans="1:12" s="520" customFormat="1" ht="14.25" customHeight="1" x14ac:dyDescent="0.2">
      <c r="A1685" s="517">
        <v>11</v>
      </c>
      <c r="B1685" s="485" t="s">
        <v>2009</v>
      </c>
      <c r="C1685" s="476" t="s">
        <v>6658</v>
      </c>
      <c r="D1685" s="464" t="s">
        <v>2783</v>
      </c>
      <c r="E1685" s="465" t="s">
        <v>2784</v>
      </c>
      <c r="F1685" s="466" t="s">
        <v>2785</v>
      </c>
      <c r="G1685" s="518" t="s">
        <v>5146</v>
      </c>
      <c r="H1685" s="519">
        <v>45213</v>
      </c>
      <c r="I1685" s="488">
        <f t="shared" si="68"/>
        <v>6981081.0810810803</v>
      </c>
      <c r="J1685" s="488">
        <f t="shared" si="69"/>
        <v>767918.91891891882</v>
      </c>
      <c r="K1685" s="474">
        <v>7749000</v>
      </c>
      <c r="L1685" s="475"/>
    </row>
    <row r="1686" spans="1:12" s="520" customFormat="1" x14ac:dyDescent="0.2">
      <c r="A1686" s="517">
        <v>12</v>
      </c>
      <c r="B1686" s="469" t="s">
        <v>2010</v>
      </c>
      <c r="C1686" s="476" t="s">
        <v>6659</v>
      </c>
      <c r="D1686" s="464" t="s">
        <v>2758</v>
      </c>
      <c r="E1686" s="708" t="s">
        <v>2759</v>
      </c>
      <c r="F1686" s="466" t="s">
        <v>2755</v>
      </c>
      <c r="G1686" s="518" t="s">
        <v>5147</v>
      </c>
      <c r="H1686" s="519">
        <v>45213</v>
      </c>
      <c r="I1686" s="473">
        <f t="shared" si="68"/>
        <v>3164497.297297297</v>
      </c>
      <c r="J1686" s="473">
        <f t="shared" si="69"/>
        <v>348094.70270270266</v>
      </c>
      <c r="K1686" s="474">
        <v>3512592</v>
      </c>
      <c r="L1686" s="475"/>
    </row>
    <row r="1687" spans="1:12" s="520" customFormat="1" ht="14.25" customHeight="1" x14ac:dyDescent="0.2">
      <c r="A1687" s="517">
        <v>13</v>
      </c>
      <c r="B1687" s="485" t="s">
        <v>2011</v>
      </c>
      <c r="C1687" s="476" t="s">
        <v>4928</v>
      </c>
      <c r="D1687" s="464" t="s">
        <v>2783</v>
      </c>
      <c r="E1687" s="465" t="s">
        <v>2784</v>
      </c>
      <c r="F1687" s="466" t="s">
        <v>2785</v>
      </c>
      <c r="G1687" s="518" t="s">
        <v>5148</v>
      </c>
      <c r="H1687" s="519">
        <v>45215</v>
      </c>
      <c r="I1687" s="488">
        <f t="shared" si="68"/>
        <v>7656486.4864864862</v>
      </c>
      <c r="J1687" s="488">
        <f t="shared" si="69"/>
        <v>842213.51351351349</v>
      </c>
      <c r="K1687" s="474">
        <v>8498700</v>
      </c>
      <c r="L1687" s="475"/>
    </row>
    <row r="1688" spans="1:12" s="520" customFormat="1" ht="14.25" customHeight="1" x14ac:dyDescent="0.2">
      <c r="A1688" s="517">
        <v>14</v>
      </c>
      <c r="B1688" s="469" t="s">
        <v>2012</v>
      </c>
      <c r="C1688" s="476" t="s">
        <v>6660</v>
      </c>
      <c r="D1688" s="464" t="s">
        <v>2758</v>
      </c>
      <c r="E1688" s="708" t="s">
        <v>2759</v>
      </c>
      <c r="F1688" s="466" t="s">
        <v>2755</v>
      </c>
      <c r="G1688" s="518" t="s">
        <v>5149</v>
      </c>
      <c r="H1688" s="519">
        <v>45215</v>
      </c>
      <c r="I1688" s="473">
        <f t="shared" si="68"/>
        <v>8752864.8648648635</v>
      </c>
      <c r="J1688" s="473">
        <f t="shared" si="69"/>
        <v>962815.13513513503</v>
      </c>
      <c r="K1688" s="474">
        <v>9715680</v>
      </c>
      <c r="L1688" s="475"/>
    </row>
    <row r="1689" spans="1:12" s="520" customFormat="1" x14ac:dyDescent="0.2">
      <c r="A1689" s="517">
        <v>15</v>
      </c>
      <c r="B1689" s="485" t="s">
        <v>2013</v>
      </c>
      <c r="C1689" s="476" t="s">
        <v>6661</v>
      </c>
      <c r="D1689" s="464" t="s">
        <v>2783</v>
      </c>
      <c r="E1689" s="465" t="s">
        <v>2784</v>
      </c>
      <c r="F1689" s="466" t="s">
        <v>2785</v>
      </c>
      <c r="G1689" s="518" t="s">
        <v>5150</v>
      </c>
      <c r="H1689" s="519">
        <v>45216</v>
      </c>
      <c r="I1689" s="488">
        <f t="shared" si="68"/>
        <v>10363783.783783782</v>
      </c>
      <c r="J1689" s="488">
        <f t="shared" si="69"/>
        <v>1140016.2162162161</v>
      </c>
      <c r="K1689" s="474">
        <v>11503800</v>
      </c>
      <c r="L1689" s="475"/>
    </row>
    <row r="1690" spans="1:12" s="520" customFormat="1" x14ac:dyDescent="0.2">
      <c r="A1690" s="517">
        <v>16</v>
      </c>
      <c r="B1690" s="469" t="s">
        <v>2014</v>
      </c>
      <c r="C1690" s="476" t="s">
        <v>6662</v>
      </c>
      <c r="D1690" s="464" t="s">
        <v>2758</v>
      </c>
      <c r="E1690" s="708" t="s">
        <v>2759</v>
      </c>
      <c r="F1690" s="466" t="s">
        <v>2755</v>
      </c>
      <c r="G1690" s="518" t="s">
        <v>5151</v>
      </c>
      <c r="H1690" s="519">
        <v>45216</v>
      </c>
      <c r="I1690" s="473">
        <f t="shared" si="68"/>
        <v>4600864.8648648644</v>
      </c>
      <c r="J1690" s="473">
        <f t="shared" si="69"/>
        <v>506095.13513513509</v>
      </c>
      <c r="K1690" s="474">
        <v>5106960</v>
      </c>
      <c r="L1690" s="475"/>
    </row>
    <row r="1691" spans="1:12" s="520" customFormat="1" x14ac:dyDescent="0.2">
      <c r="A1691" s="517">
        <v>17</v>
      </c>
      <c r="B1691" s="485" t="s">
        <v>2015</v>
      </c>
      <c r="C1691" s="476" t="s">
        <v>6663</v>
      </c>
      <c r="D1691" s="464" t="s">
        <v>4915</v>
      </c>
      <c r="E1691" s="471" t="s">
        <v>4916</v>
      </c>
      <c r="F1691" s="471" t="s">
        <v>2823</v>
      </c>
      <c r="G1691" s="518" t="s">
        <v>5152</v>
      </c>
      <c r="H1691" s="519">
        <v>45217</v>
      </c>
      <c r="I1691" s="488">
        <f t="shared" si="68"/>
        <v>670675.67567567562</v>
      </c>
      <c r="J1691" s="488">
        <f t="shared" si="69"/>
        <v>73774.32432432432</v>
      </c>
      <c r="K1691" s="474">
        <v>744450</v>
      </c>
      <c r="L1691" s="475"/>
    </row>
    <row r="1692" spans="1:12" s="520" customFormat="1" x14ac:dyDescent="0.2">
      <c r="A1692" s="517">
        <v>18</v>
      </c>
      <c r="B1692" s="469" t="s">
        <v>2016</v>
      </c>
      <c r="C1692" s="476" t="s">
        <v>5217</v>
      </c>
      <c r="D1692" s="464" t="s">
        <v>2783</v>
      </c>
      <c r="E1692" s="465" t="s">
        <v>2784</v>
      </c>
      <c r="F1692" s="466" t="s">
        <v>2785</v>
      </c>
      <c r="G1692" s="518" t="s">
        <v>5153</v>
      </c>
      <c r="H1692" s="519">
        <v>45222</v>
      </c>
      <c r="I1692" s="473">
        <f t="shared" si="68"/>
        <v>1347972.9729729728</v>
      </c>
      <c r="J1692" s="473">
        <f t="shared" si="69"/>
        <v>148277.02702702701</v>
      </c>
      <c r="K1692" s="474">
        <v>1496250</v>
      </c>
      <c r="L1692" s="475"/>
    </row>
    <row r="1693" spans="1:12" s="520" customFormat="1" x14ac:dyDescent="0.2">
      <c r="A1693" s="517">
        <v>19</v>
      </c>
      <c r="B1693" s="485" t="s">
        <v>2017</v>
      </c>
      <c r="C1693" s="476" t="s">
        <v>6699</v>
      </c>
      <c r="D1693" s="464" t="s">
        <v>4915</v>
      </c>
      <c r="E1693" s="471" t="s">
        <v>4916</v>
      </c>
      <c r="F1693" s="471" t="s">
        <v>2823</v>
      </c>
      <c r="G1693" s="518" t="s">
        <v>5154</v>
      </c>
      <c r="H1693" s="477">
        <v>45222</v>
      </c>
      <c r="I1693" s="488">
        <f t="shared" si="68"/>
        <v>32479999.999999996</v>
      </c>
      <c r="J1693" s="488">
        <f t="shared" si="69"/>
        <v>3572799.9999999995</v>
      </c>
      <c r="K1693" s="474">
        <v>36052800</v>
      </c>
      <c r="L1693" s="475"/>
    </row>
    <row r="1694" spans="1:12" s="520" customFormat="1" x14ac:dyDescent="0.2">
      <c r="A1694" s="517">
        <v>20</v>
      </c>
      <c r="B1694" s="469" t="s">
        <v>2018</v>
      </c>
      <c r="C1694" s="476" t="s">
        <v>6700</v>
      </c>
      <c r="D1694" s="464" t="s">
        <v>2758</v>
      </c>
      <c r="E1694" s="708" t="s">
        <v>2759</v>
      </c>
      <c r="F1694" s="466" t="s">
        <v>2755</v>
      </c>
      <c r="G1694" s="518" t="s">
        <v>5155</v>
      </c>
      <c r="H1694" s="477">
        <v>45222</v>
      </c>
      <c r="I1694" s="473">
        <f t="shared" si="68"/>
        <v>9089513.5135135129</v>
      </c>
      <c r="J1694" s="473">
        <f t="shared" si="69"/>
        <v>999846.48648648639</v>
      </c>
      <c r="K1694" s="474">
        <v>10089360</v>
      </c>
      <c r="L1694" s="475"/>
    </row>
    <row r="1695" spans="1:12" s="520" customFormat="1" x14ac:dyDescent="0.2">
      <c r="A1695" s="517">
        <v>21</v>
      </c>
      <c r="B1695" s="485" t="s">
        <v>2019</v>
      </c>
      <c r="C1695" s="476" t="s">
        <v>6707</v>
      </c>
      <c r="D1695" s="487" t="s">
        <v>6708</v>
      </c>
      <c r="E1695" s="503" t="s">
        <v>6709</v>
      </c>
      <c r="F1695" s="504" t="s">
        <v>2785</v>
      </c>
      <c r="G1695" s="518" t="s">
        <v>5156</v>
      </c>
      <c r="H1695" s="477">
        <v>45223</v>
      </c>
      <c r="I1695" s="488">
        <f t="shared" si="68"/>
        <v>7394594.5945945941</v>
      </c>
      <c r="J1695" s="488">
        <f t="shared" si="69"/>
        <v>813405.40540540533</v>
      </c>
      <c r="K1695" s="474">
        <v>8208000</v>
      </c>
      <c r="L1695" s="475"/>
    </row>
    <row r="1696" spans="1:12" s="520" customFormat="1" x14ac:dyDescent="0.2">
      <c r="A1696" s="517">
        <v>22</v>
      </c>
      <c r="B1696" s="469" t="s">
        <v>2020</v>
      </c>
      <c r="C1696" s="476" t="s">
        <v>6710</v>
      </c>
      <c r="D1696" s="464" t="s">
        <v>2783</v>
      </c>
      <c r="E1696" s="465" t="s">
        <v>2784</v>
      </c>
      <c r="F1696" s="466" t="s">
        <v>2785</v>
      </c>
      <c r="G1696" s="518" t="s">
        <v>5157</v>
      </c>
      <c r="H1696" s="477">
        <v>45225</v>
      </c>
      <c r="I1696" s="473">
        <f t="shared" si="68"/>
        <v>2111351.351351351</v>
      </c>
      <c r="J1696" s="473">
        <f t="shared" si="69"/>
        <v>232248.64864864861</v>
      </c>
      <c r="K1696" s="474">
        <v>2343600</v>
      </c>
      <c r="L1696" s="475"/>
    </row>
    <row r="1697" spans="1:12" s="520" customFormat="1" x14ac:dyDescent="0.2">
      <c r="A1697" s="517">
        <v>23</v>
      </c>
      <c r="B1697" s="485" t="s">
        <v>2021</v>
      </c>
      <c r="C1697" s="476" t="s">
        <v>6711</v>
      </c>
      <c r="D1697" s="464" t="s">
        <v>2849</v>
      </c>
      <c r="E1697" s="471" t="s">
        <v>2850</v>
      </c>
      <c r="F1697" s="471" t="s">
        <v>2851</v>
      </c>
      <c r="G1697" s="518" t="s">
        <v>5158</v>
      </c>
      <c r="H1697" s="477">
        <v>45224</v>
      </c>
      <c r="I1697" s="488">
        <f t="shared" si="68"/>
        <v>1355936.9369369368</v>
      </c>
      <c r="J1697" s="488">
        <f t="shared" si="69"/>
        <v>149153.06306306305</v>
      </c>
      <c r="K1697" s="474">
        <v>1505090</v>
      </c>
      <c r="L1697" s="475"/>
    </row>
    <row r="1698" spans="1:12" s="520" customFormat="1" x14ac:dyDescent="0.2">
      <c r="A1698" s="517">
        <v>24</v>
      </c>
      <c r="B1698" s="469" t="s">
        <v>2022</v>
      </c>
      <c r="C1698" s="476" t="s">
        <v>6712</v>
      </c>
      <c r="D1698" s="464" t="s">
        <v>2849</v>
      </c>
      <c r="E1698" s="471" t="s">
        <v>2850</v>
      </c>
      <c r="F1698" s="471" t="s">
        <v>2851</v>
      </c>
      <c r="G1698" s="518" t="s">
        <v>5159</v>
      </c>
      <c r="H1698" s="477">
        <v>45224</v>
      </c>
      <c r="I1698" s="473">
        <f t="shared" si="68"/>
        <v>328864.86486486485</v>
      </c>
      <c r="J1698" s="473">
        <f t="shared" si="69"/>
        <v>36175.135135135133</v>
      </c>
      <c r="K1698" s="474">
        <v>365040</v>
      </c>
      <c r="L1698" s="475"/>
    </row>
    <row r="1699" spans="1:12" s="520" customFormat="1" x14ac:dyDescent="0.2">
      <c r="A1699" s="517">
        <v>25</v>
      </c>
      <c r="B1699" s="485" t="s">
        <v>2023</v>
      </c>
      <c r="C1699" s="476" t="s">
        <v>6713</v>
      </c>
      <c r="D1699" s="464" t="s">
        <v>2783</v>
      </c>
      <c r="E1699" s="465" t="s">
        <v>2784</v>
      </c>
      <c r="F1699" s="466" t="s">
        <v>2785</v>
      </c>
      <c r="G1699" s="518" t="s">
        <v>5160</v>
      </c>
      <c r="H1699" s="477">
        <v>45226</v>
      </c>
      <c r="I1699" s="488">
        <f t="shared" si="68"/>
        <v>18048648.648648646</v>
      </c>
      <c r="J1699" s="488">
        <f t="shared" si="69"/>
        <v>1985351.351351351</v>
      </c>
      <c r="K1699" s="474">
        <v>20034000</v>
      </c>
      <c r="L1699" s="475"/>
    </row>
    <row r="1700" spans="1:12" s="521" customFormat="1" x14ac:dyDescent="0.2">
      <c r="A1700" s="517">
        <v>26</v>
      </c>
      <c r="B1700" s="469" t="s">
        <v>2024</v>
      </c>
      <c r="C1700" s="476" t="s">
        <v>6718</v>
      </c>
      <c r="D1700" s="464" t="s">
        <v>2806</v>
      </c>
      <c r="E1700" s="465" t="s">
        <v>2807</v>
      </c>
      <c r="F1700" s="466" t="s">
        <v>2808</v>
      </c>
      <c r="G1700" s="518" t="s">
        <v>5161</v>
      </c>
      <c r="H1700" s="477">
        <v>45227</v>
      </c>
      <c r="I1700" s="473">
        <f t="shared" si="68"/>
        <v>2698783.7837837837</v>
      </c>
      <c r="J1700" s="473">
        <f t="shared" si="69"/>
        <v>296866.21621621621</v>
      </c>
      <c r="K1700" s="474">
        <v>2995650</v>
      </c>
      <c r="L1700" s="475"/>
    </row>
    <row r="1701" spans="1:12" s="521" customFormat="1" x14ac:dyDescent="0.2">
      <c r="A1701" s="517">
        <v>27</v>
      </c>
      <c r="B1701" s="485" t="s">
        <v>2025</v>
      </c>
      <c r="C1701" s="476" t="s">
        <v>6719</v>
      </c>
      <c r="D1701" s="511" t="s">
        <v>2773</v>
      </c>
      <c r="E1701" s="465" t="s">
        <v>2774</v>
      </c>
      <c r="F1701" s="510" t="s">
        <v>2755</v>
      </c>
      <c r="G1701" s="518" t="s">
        <v>5162</v>
      </c>
      <c r="H1701" s="477">
        <v>45229</v>
      </c>
      <c r="I1701" s="488">
        <f t="shared" si="68"/>
        <v>3709945.9459459456</v>
      </c>
      <c r="J1701" s="488">
        <f t="shared" si="69"/>
        <v>408094.05405405402</v>
      </c>
      <c r="K1701" s="474">
        <v>4118040</v>
      </c>
      <c r="L1701" s="475"/>
    </row>
    <row r="1702" spans="1:12" s="521" customFormat="1" x14ac:dyDescent="0.2">
      <c r="A1702" s="517">
        <v>28</v>
      </c>
      <c r="B1702" s="469" t="s">
        <v>2026</v>
      </c>
      <c r="C1702" s="476" t="s">
        <v>6720</v>
      </c>
      <c r="D1702" s="464" t="s">
        <v>2783</v>
      </c>
      <c r="E1702" s="465" t="s">
        <v>2784</v>
      </c>
      <c r="F1702" s="466" t="s">
        <v>2785</v>
      </c>
      <c r="G1702" s="518" t="s">
        <v>5163</v>
      </c>
      <c r="H1702" s="477">
        <v>45229</v>
      </c>
      <c r="I1702" s="473">
        <f t="shared" si="68"/>
        <v>26318108.108108107</v>
      </c>
      <c r="J1702" s="473">
        <f t="shared" si="69"/>
        <v>2894991.8918918916</v>
      </c>
      <c r="K1702" s="474">
        <v>29213100</v>
      </c>
      <c r="L1702" s="475"/>
    </row>
    <row r="1703" spans="1:12" s="521" customFormat="1" x14ac:dyDescent="0.2">
      <c r="A1703" s="517">
        <v>29</v>
      </c>
      <c r="B1703" s="485" t="s">
        <v>2027</v>
      </c>
      <c r="C1703" s="476" t="s">
        <v>6721</v>
      </c>
      <c r="D1703" s="464" t="s">
        <v>2783</v>
      </c>
      <c r="E1703" s="465" t="s">
        <v>2784</v>
      </c>
      <c r="F1703" s="466" t="s">
        <v>2785</v>
      </c>
      <c r="G1703" s="518" t="s">
        <v>5164</v>
      </c>
      <c r="H1703" s="477">
        <v>45229</v>
      </c>
      <c r="I1703" s="488">
        <f t="shared" si="68"/>
        <v>23565405.405405402</v>
      </c>
      <c r="J1703" s="488">
        <f t="shared" si="69"/>
        <v>2592194.5945945941</v>
      </c>
      <c r="K1703" s="474">
        <v>26157600</v>
      </c>
      <c r="L1703" s="475"/>
    </row>
    <row r="1704" spans="1:12" s="521" customFormat="1" x14ac:dyDescent="0.2">
      <c r="A1704" s="517">
        <v>30</v>
      </c>
      <c r="B1704" s="469" t="s">
        <v>2028</v>
      </c>
      <c r="C1704" s="476" t="s">
        <v>6722</v>
      </c>
      <c r="D1704" s="464" t="s">
        <v>2758</v>
      </c>
      <c r="E1704" s="708" t="s">
        <v>2759</v>
      </c>
      <c r="F1704" s="466" t="s">
        <v>2755</v>
      </c>
      <c r="G1704" s="518" t="s">
        <v>5165</v>
      </c>
      <c r="H1704" s="477">
        <v>45229</v>
      </c>
      <c r="I1704" s="473">
        <f t="shared" si="68"/>
        <v>2423870.2702702698</v>
      </c>
      <c r="J1704" s="473">
        <f t="shared" si="69"/>
        <v>266625.7297297297</v>
      </c>
      <c r="K1704" s="474">
        <v>2690496</v>
      </c>
      <c r="L1704" s="475"/>
    </row>
    <row r="1705" spans="1:12" s="521" customFormat="1" x14ac:dyDescent="0.2">
      <c r="A1705" s="517">
        <v>31</v>
      </c>
      <c r="B1705" s="485" t="s">
        <v>2029</v>
      </c>
      <c r="C1705" s="476" t="s">
        <v>6866</v>
      </c>
      <c r="D1705" s="487" t="s">
        <v>2790</v>
      </c>
      <c r="E1705" s="503" t="s">
        <v>2791</v>
      </c>
      <c r="F1705" s="504" t="s">
        <v>2792</v>
      </c>
      <c r="G1705" s="518" t="s">
        <v>5166</v>
      </c>
      <c r="H1705" s="477">
        <v>45230</v>
      </c>
      <c r="I1705" s="488">
        <f t="shared" si="68"/>
        <v>2063999.9999999998</v>
      </c>
      <c r="J1705" s="488">
        <f t="shared" si="69"/>
        <v>227039.99999999997</v>
      </c>
      <c r="K1705" s="474">
        <v>2291040</v>
      </c>
      <c r="L1705" s="475"/>
    </row>
    <row r="1706" spans="1:12" s="521" customFormat="1" x14ac:dyDescent="0.2">
      <c r="A1706" s="517">
        <v>32</v>
      </c>
      <c r="B1706" s="469" t="s">
        <v>2030</v>
      </c>
      <c r="C1706" s="476" t="s">
        <v>6867</v>
      </c>
      <c r="D1706" s="464" t="s">
        <v>2783</v>
      </c>
      <c r="E1706" s="465" t="s">
        <v>2784</v>
      </c>
      <c r="F1706" s="466" t="s">
        <v>2785</v>
      </c>
      <c r="G1706" s="518" t="s">
        <v>5167</v>
      </c>
      <c r="H1706" s="477">
        <v>45230</v>
      </c>
      <c r="I1706" s="473">
        <f t="shared" si="68"/>
        <v>5571621.6216216208</v>
      </c>
      <c r="J1706" s="473">
        <f t="shared" si="69"/>
        <v>612878.37837837834</v>
      </c>
      <c r="K1706" s="474">
        <v>6184500</v>
      </c>
      <c r="L1706" s="475"/>
    </row>
    <row r="1707" spans="1:12" s="521" customFormat="1" x14ac:dyDescent="0.2">
      <c r="A1707" s="517">
        <v>33</v>
      </c>
      <c r="B1707" s="485" t="s">
        <v>2031</v>
      </c>
      <c r="C1707" s="476" t="s">
        <v>6950</v>
      </c>
      <c r="D1707" s="464"/>
      <c r="E1707" s="465" t="s">
        <v>3921</v>
      </c>
      <c r="F1707" s="466" t="s">
        <v>2873</v>
      </c>
      <c r="G1707" s="466"/>
      <c r="H1707" s="477">
        <v>45204</v>
      </c>
      <c r="I1707" s="488">
        <f t="shared" si="68"/>
        <v>1107747.7477477477</v>
      </c>
      <c r="J1707" s="488">
        <f t="shared" si="69"/>
        <v>121852.25225225225</v>
      </c>
      <c r="K1707" s="474">
        <f>354800+874800</f>
        <v>1229600</v>
      </c>
      <c r="L1707" s="478"/>
    </row>
    <row r="1708" spans="1:12" s="521" customFormat="1" x14ac:dyDescent="0.2">
      <c r="A1708" s="517">
        <v>34</v>
      </c>
      <c r="B1708" s="469" t="s">
        <v>2032</v>
      </c>
      <c r="C1708" s="476" t="s">
        <v>6889</v>
      </c>
      <c r="D1708" s="464"/>
      <c r="E1708" s="465" t="s">
        <v>3029</v>
      </c>
      <c r="F1708" s="466" t="s">
        <v>3025</v>
      </c>
      <c r="G1708" s="466"/>
      <c r="H1708" s="477">
        <v>45209</v>
      </c>
      <c r="I1708" s="473">
        <f t="shared" si="68"/>
        <v>972972.9729729729</v>
      </c>
      <c r="J1708" s="473">
        <f t="shared" si="69"/>
        <v>107027.02702702703</v>
      </c>
      <c r="K1708" s="474">
        <v>1080000</v>
      </c>
      <c r="L1708" s="475"/>
    </row>
    <row r="1709" spans="1:12" s="521" customFormat="1" x14ac:dyDescent="0.2">
      <c r="A1709" s="517">
        <v>35</v>
      </c>
      <c r="B1709" s="485" t="s">
        <v>2033</v>
      </c>
      <c r="C1709" s="476" t="s">
        <v>6891</v>
      </c>
      <c r="D1709" s="464"/>
      <c r="E1709" s="471" t="s">
        <v>3004</v>
      </c>
      <c r="F1709" s="471" t="s">
        <v>3006</v>
      </c>
      <c r="G1709" s="466"/>
      <c r="H1709" s="477">
        <v>45202</v>
      </c>
      <c r="I1709" s="488">
        <f t="shared" si="68"/>
        <v>461486.48648648645</v>
      </c>
      <c r="J1709" s="488">
        <f t="shared" si="69"/>
        <v>50763.513513513513</v>
      </c>
      <c r="K1709" s="474">
        <f>251400+260850</f>
        <v>512250</v>
      </c>
      <c r="L1709" s="475"/>
    </row>
    <row r="1710" spans="1:12" s="521" customFormat="1" x14ac:dyDescent="0.2">
      <c r="A1710" s="517">
        <v>36</v>
      </c>
      <c r="B1710" s="469" t="s">
        <v>2034</v>
      </c>
      <c r="C1710" s="476" t="s">
        <v>6908</v>
      </c>
      <c r="D1710" s="464"/>
      <c r="E1710" s="465" t="s">
        <v>3020</v>
      </c>
      <c r="F1710" s="466" t="s">
        <v>3021</v>
      </c>
      <c r="G1710" s="466"/>
      <c r="H1710" s="477">
        <v>45203</v>
      </c>
      <c r="I1710" s="473">
        <f t="shared" si="68"/>
        <v>7245945.9459459456</v>
      </c>
      <c r="J1710" s="473">
        <f t="shared" si="69"/>
        <v>797054.05405405397</v>
      </c>
      <c r="K1710" s="474">
        <f>5460000+2583000</f>
        <v>8043000</v>
      </c>
      <c r="L1710" s="475"/>
    </row>
    <row r="1711" spans="1:12" s="521" customFormat="1" x14ac:dyDescent="0.2">
      <c r="A1711" s="517">
        <v>37</v>
      </c>
      <c r="B1711" s="485" t="s">
        <v>2035</v>
      </c>
      <c r="C1711" s="476" t="s">
        <v>6892</v>
      </c>
      <c r="D1711" s="464"/>
      <c r="E1711" s="465" t="s">
        <v>4651</v>
      </c>
      <c r="F1711" s="466" t="s">
        <v>2922</v>
      </c>
      <c r="G1711" s="466"/>
      <c r="H1711" s="477">
        <v>45203</v>
      </c>
      <c r="I1711" s="488">
        <f t="shared" si="68"/>
        <v>794594.59459459456</v>
      </c>
      <c r="J1711" s="488">
        <f t="shared" si="69"/>
        <v>87405.4054054054</v>
      </c>
      <c r="K1711" s="474">
        <v>882000</v>
      </c>
      <c r="L1711" s="475"/>
    </row>
    <row r="1712" spans="1:12" s="521" customFormat="1" x14ac:dyDescent="0.2">
      <c r="A1712" s="517">
        <v>38</v>
      </c>
      <c r="B1712" s="469" t="s">
        <v>2036</v>
      </c>
      <c r="C1712" s="476" t="s">
        <v>6890</v>
      </c>
      <c r="D1712" s="464"/>
      <c r="E1712" s="471" t="s">
        <v>2910</v>
      </c>
      <c r="F1712" s="471" t="s">
        <v>2851</v>
      </c>
      <c r="G1712" s="466"/>
      <c r="H1712" s="477">
        <v>45203</v>
      </c>
      <c r="I1712" s="473">
        <f t="shared" si="68"/>
        <v>1902702.7027027025</v>
      </c>
      <c r="J1712" s="473">
        <f t="shared" si="69"/>
        <v>209297.29729729728</v>
      </c>
      <c r="K1712" s="474">
        <v>2112000</v>
      </c>
      <c r="L1712" s="475"/>
    </row>
    <row r="1713" spans="1:12" s="521" customFormat="1" x14ac:dyDescent="0.2">
      <c r="A1713" s="517">
        <v>39</v>
      </c>
      <c r="B1713" s="485" t="s">
        <v>2037</v>
      </c>
      <c r="C1713" s="476" t="s">
        <v>6893</v>
      </c>
      <c r="D1713" s="464"/>
      <c r="E1713" s="465" t="s">
        <v>5186</v>
      </c>
      <c r="F1713" s="466" t="s">
        <v>2940</v>
      </c>
      <c r="G1713" s="466"/>
      <c r="H1713" s="477">
        <v>45204</v>
      </c>
      <c r="I1713" s="488">
        <f t="shared" si="68"/>
        <v>92792.792792792781</v>
      </c>
      <c r="J1713" s="488">
        <f t="shared" si="69"/>
        <v>10207.207207207206</v>
      </c>
      <c r="K1713" s="474">
        <v>103000</v>
      </c>
      <c r="L1713" s="475"/>
    </row>
    <row r="1714" spans="1:12" s="521" customFormat="1" x14ac:dyDescent="0.2">
      <c r="A1714" s="517">
        <v>40</v>
      </c>
      <c r="B1714" s="469" t="s">
        <v>2038</v>
      </c>
      <c r="C1714" s="476" t="s">
        <v>6894</v>
      </c>
      <c r="D1714" s="487"/>
      <c r="E1714" s="503" t="s">
        <v>2927</v>
      </c>
      <c r="F1714" s="504" t="s">
        <v>2928</v>
      </c>
      <c r="G1714" s="466"/>
      <c r="H1714" s="477">
        <v>45204</v>
      </c>
      <c r="I1714" s="473">
        <f t="shared" si="68"/>
        <v>1523675.6756756755</v>
      </c>
      <c r="J1714" s="473">
        <f t="shared" si="69"/>
        <v>167604.32432432432</v>
      </c>
      <c r="K1714" s="474">
        <v>1691280</v>
      </c>
      <c r="L1714" s="475"/>
    </row>
    <row r="1715" spans="1:12" s="521" customFormat="1" x14ac:dyDescent="0.2">
      <c r="A1715" s="517">
        <v>41</v>
      </c>
      <c r="B1715" s="485" t="s">
        <v>2039</v>
      </c>
      <c r="C1715" s="476" t="s">
        <v>6912</v>
      </c>
      <c r="D1715" s="464"/>
      <c r="E1715" s="471" t="s">
        <v>4026</v>
      </c>
      <c r="F1715" s="471" t="s">
        <v>3033</v>
      </c>
      <c r="G1715" s="466"/>
      <c r="H1715" s="477">
        <v>45205</v>
      </c>
      <c r="I1715" s="488">
        <f t="shared" si="68"/>
        <v>7135135.1351351347</v>
      </c>
      <c r="J1715" s="488">
        <f t="shared" si="69"/>
        <v>784864.86486486485</v>
      </c>
      <c r="K1715" s="474">
        <f>171000+7749000</f>
        <v>7920000</v>
      </c>
      <c r="L1715" s="475"/>
    </row>
    <row r="1716" spans="1:12" s="521" customFormat="1" x14ac:dyDescent="0.2">
      <c r="A1716" s="517">
        <v>42</v>
      </c>
      <c r="B1716" s="469" t="s">
        <v>2040</v>
      </c>
      <c r="C1716" s="476" t="s">
        <v>6948</v>
      </c>
      <c r="D1716" s="464"/>
      <c r="E1716" s="465" t="s">
        <v>6895</v>
      </c>
      <c r="F1716" s="466" t="s">
        <v>2873</v>
      </c>
      <c r="G1716" s="466"/>
      <c r="H1716" s="477">
        <v>45206</v>
      </c>
      <c r="I1716" s="473">
        <f t="shared" si="68"/>
        <v>2369949.5495495494</v>
      </c>
      <c r="J1716" s="473">
        <f t="shared" si="69"/>
        <v>260694.45045045044</v>
      </c>
      <c r="K1716" s="474">
        <f>1023094+169050+1438500</f>
        <v>2630644</v>
      </c>
      <c r="L1716" s="475" t="s">
        <v>6896</v>
      </c>
    </row>
    <row r="1717" spans="1:12" s="521" customFormat="1" x14ac:dyDescent="0.2">
      <c r="A1717" s="517">
        <v>43</v>
      </c>
      <c r="B1717" s="485" t="s">
        <v>2041</v>
      </c>
      <c r="C1717" s="476" t="s">
        <v>6947</v>
      </c>
      <c r="D1717" s="464"/>
      <c r="E1717" s="465" t="s">
        <v>2956</v>
      </c>
      <c r="F1717" s="466" t="s">
        <v>2755</v>
      </c>
      <c r="G1717" s="466"/>
      <c r="H1717" s="477">
        <v>45206</v>
      </c>
      <c r="I1717" s="488">
        <f t="shared" si="68"/>
        <v>4713567.5675675673</v>
      </c>
      <c r="J1717" s="488">
        <f t="shared" si="69"/>
        <v>518492.43243243243</v>
      </c>
      <c r="K1717" s="474">
        <f>2915190+972270+1344600</f>
        <v>5232060</v>
      </c>
      <c r="L1717" s="475"/>
    </row>
    <row r="1718" spans="1:12" x14ac:dyDescent="0.2">
      <c r="A1718" s="305">
        <v>44</v>
      </c>
      <c r="B1718" s="469" t="s">
        <v>2042</v>
      </c>
      <c r="C1718" s="476" t="s">
        <v>6897</v>
      </c>
      <c r="D1718" s="464"/>
      <c r="E1718" s="465" t="s">
        <v>2991</v>
      </c>
      <c r="F1718" s="466" t="s">
        <v>2886</v>
      </c>
      <c r="G1718" s="750"/>
      <c r="H1718" s="477">
        <v>45206</v>
      </c>
      <c r="I1718" s="473">
        <f t="shared" si="68"/>
        <v>2513513.5135135134</v>
      </c>
      <c r="J1718" s="473">
        <f t="shared" si="69"/>
        <v>276486.48648648645</v>
      </c>
      <c r="K1718" s="474">
        <v>2790000</v>
      </c>
      <c r="L1718" s="475"/>
    </row>
    <row r="1719" spans="1:12" x14ac:dyDescent="0.2">
      <c r="A1719" s="305">
        <v>45</v>
      </c>
      <c r="B1719" s="485" t="s">
        <v>2043</v>
      </c>
      <c r="C1719" s="476" t="s">
        <v>6993</v>
      </c>
      <c r="D1719" s="464"/>
      <c r="E1719" s="465" t="s">
        <v>2993</v>
      </c>
      <c r="F1719" s="466" t="s">
        <v>2994</v>
      </c>
      <c r="G1719" s="750"/>
      <c r="H1719" s="477">
        <v>45202</v>
      </c>
      <c r="I1719" s="488">
        <f t="shared" si="68"/>
        <v>4879459.4594594594</v>
      </c>
      <c r="J1719" s="488">
        <f t="shared" si="69"/>
        <v>536740.54054054059</v>
      </c>
      <c r="K1719" s="474">
        <f>1674000+2203200+1539000</f>
        <v>5416200</v>
      </c>
      <c r="L1719" s="475"/>
    </row>
    <row r="1720" spans="1:12" x14ac:dyDescent="0.2">
      <c r="A1720" s="305">
        <v>46</v>
      </c>
      <c r="B1720" s="469" t="s">
        <v>2044</v>
      </c>
      <c r="C1720" s="476" t="s">
        <v>6898</v>
      </c>
      <c r="D1720" s="464"/>
      <c r="E1720" s="465" t="s">
        <v>3461</v>
      </c>
      <c r="F1720" s="466" t="s">
        <v>2890</v>
      </c>
      <c r="G1720" s="750"/>
      <c r="H1720" s="477">
        <v>45202</v>
      </c>
      <c r="I1720" s="473">
        <f t="shared" si="68"/>
        <v>2932432.4324324322</v>
      </c>
      <c r="J1720" s="473">
        <f t="shared" si="69"/>
        <v>322567.56756756752</v>
      </c>
      <c r="K1720" s="474">
        <v>3255000</v>
      </c>
      <c r="L1720" s="475"/>
    </row>
    <row r="1721" spans="1:12" x14ac:dyDescent="0.2">
      <c r="A1721" s="305">
        <v>47</v>
      </c>
      <c r="B1721" s="485" t="s">
        <v>2045</v>
      </c>
      <c r="C1721" s="476" t="s">
        <v>7044</v>
      </c>
      <c r="D1721" s="464"/>
      <c r="E1721" s="465" t="s">
        <v>3014</v>
      </c>
      <c r="F1721" s="466" t="s">
        <v>3006</v>
      </c>
      <c r="G1721" s="750"/>
      <c r="H1721" s="477">
        <v>45202</v>
      </c>
      <c r="I1721" s="488">
        <f t="shared" si="68"/>
        <v>6827270.2702702694</v>
      </c>
      <c r="J1721" s="488">
        <f t="shared" si="69"/>
        <v>750999.72972972959</v>
      </c>
      <c r="K1721" s="474">
        <f>3307500+2583000+1370250+317520</f>
        <v>7578270</v>
      </c>
      <c r="L1721" s="475"/>
    </row>
    <row r="1722" spans="1:12" x14ac:dyDescent="0.2">
      <c r="A1722" s="305">
        <v>48</v>
      </c>
      <c r="B1722" s="469" t="s">
        <v>2046</v>
      </c>
      <c r="C1722" s="476" t="s">
        <v>6899</v>
      </c>
      <c r="D1722" s="464"/>
      <c r="E1722" s="465" t="s">
        <v>5789</v>
      </c>
      <c r="F1722" s="466" t="s">
        <v>5284</v>
      </c>
      <c r="G1722" s="750"/>
      <c r="H1722" s="477">
        <v>45202</v>
      </c>
      <c r="I1722" s="473">
        <f t="shared" si="68"/>
        <v>1466216.2162162161</v>
      </c>
      <c r="J1722" s="473">
        <f t="shared" si="69"/>
        <v>161283.78378378376</v>
      </c>
      <c r="K1722" s="474">
        <v>1627500</v>
      </c>
      <c r="L1722" s="475"/>
    </row>
    <row r="1723" spans="1:12" x14ac:dyDescent="0.2">
      <c r="A1723" s="305">
        <v>49</v>
      </c>
      <c r="B1723" s="485" t="s">
        <v>2047</v>
      </c>
      <c r="C1723" s="476" t="s">
        <v>6900</v>
      </c>
      <c r="D1723" s="464"/>
      <c r="E1723" s="465" t="s">
        <v>5200</v>
      </c>
      <c r="F1723" s="466" t="s">
        <v>2953</v>
      </c>
      <c r="G1723" s="750"/>
      <c r="H1723" s="477">
        <v>45215</v>
      </c>
      <c r="I1723" s="488">
        <f t="shared" si="68"/>
        <v>762162.16216216213</v>
      </c>
      <c r="J1723" s="488">
        <f t="shared" si="69"/>
        <v>83837.83783783784</v>
      </c>
      <c r="K1723" s="474">
        <v>846000</v>
      </c>
      <c r="L1723" s="475"/>
    </row>
    <row r="1724" spans="1:12" x14ac:dyDescent="0.2">
      <c r="A1724" s="305">
        <v>50</v>
      </c>
      <c r="B1724" s="469" t="s">
        <v>2048</v>
      </c>
      <c r="C1724" s="476" t="s">
        <v>6966</v>
      </c>
      <c r="D1724" s="464"/>
      <c r="E1724" s="465" t="s">
        <v>2914</v>
      </c>
      <c r="F1724" s="466" t="s">
        <v>2915</v>
      </c>
      <c r="G1724" s="750"/>
      <c r="H1724" s="477">
        <v>45203</v>
      </c>
      <c r="I1724" s="473">
        <f t="shared" si="68"/>
        <v>3435729.7297297292</v>
      </c>
      <c r="J1724" s="473">
        <f t="shared" si="69"/>
        <v>377930.27027027024</v>
      </c>
      <c r="K1724" s="474">
        <f>1539000+2274660</f>
        <v>3813660</v>
      </c>
      <c r="L1724" s="475"/>
    </row>
    <row r="1725" spans="1:12" x14ac:dyDescent="0.2">
      <c r="A1725" s="305">
        <v>51</v>
      </c>
      <c r="B1725" s="485" t="s">
        <v>2049</v>
      </c>
      <c r="C1725" s="476" t="s">
        <v>6901</v>
      </c>
      <c r="D1725" s="464"/>
      <c r="E1725" s="465" t="s">
        <v>5649</v>
      </c>
      <c r="F1725" s="466" t="s">
        <v>2922</v>
      </c>
      <c r="G1725" s="750"/>
      <c r="H1725" s="477">
        <v>45203</v>
      </c>
      <c r="I1725" s="488">
        <f t="shared" si="68"/>
        <v>1872972.9729729728</v>
      </c>
      <c r="J1725" s="488">
        <f t="shared" si="69"/>
        <v>206027.02702702701</v>
      </c>
      <c r="K1725" s="474">
        <v>2079000</v>
      </c>
      <c r="L1725" s="475"/>
    </row>
    <row r="1726" spans="1:12" x14ac:dyDescent="0.2">
      <c r="A1726" s="305">
        <v>52</v>
      </c>
      <c r="B1726" s="469" t="s">
        <v>2050</v>
      </c>
      <c r="C1726" s="476" t="s">
        <v>6902</v>
      </c>
      <c r="D1726" s="464"/>
      <c r="E1726" s="465" t="s">
        <v>5041</v>
      </c>
      <c r="F1726" s="466" t="s">
        <v>2828</v>
      </c>
      <c r="G1726" s="750"/>
      <c r="H1726" s="477">
        <v>45208</v>
      </c>
      <c r="I1726" s="473">
        <f t="shared" si="68"/>
        <v>8903243.2432432417</v>
      </c>
      <c r="J1726" s="473">
        <f t="shared" si="69"/>
        <v>979356.75675675657</v>
      </c>
      <c r="K1726" s="474">
        <v>9882600</v>
      </c>
      <c r="L1726" s="475"/>
    </row>
    <row r="1727" spans="1:12" x14ac:dyDescent="0.2">
      <c r="A1727" s="305">
        <v>53</v>
      </c>
      <c r="B1727" s="485" t="s">
        <v>2051</v>
      </c>
      <c r="C1727" s="476" t="s">
        <v>6945</v>
      </c>
      <c r="D1727" s="464"/>
      <c r="E1727" s="471" t="s">
        <v>2885</v>
      </c>
      <c r="F1727" s="471" t="s">
        <v>2886</v>
      </c>
      <c r="G1727" s="750"/>
      <c r="H1727" s="472">
        <v>45203</v>
      </c>
      <c r="I1727" s="488">
        <f t="shared" si="68"/>
        <v>2308983.7837837837</v>
      </c>
      <c r="J1727" s="488">
        <f t="shared" si="69"/>
        <v>253988.21621621621</v>
      </c>
      <c r="K1727" s="474">
        <f>1027872+774000+761100</f>
        <v>2562972</v>
      </c>
      <c r="L1727" s="475"/>
    </row>
    <row r="1728" spans="1:12" x14ac:dyDescent="0.2">
      <c r="A1728" s="305">
        <v>54</v>
      </c>
      <c r="B1728" s="469" t="s">
        <v>2052</v>
      </c>
      <c r="C1728" s="476" t="s">
        <v>6937</v>
      </c>
      <c r="D1728" s="464"/>
      <c r="E1728" s="465" t="s">
        <v>2939</v>
      </c>
      <c r="F1728" s="466" t="s">
        <v>2940</v>
      </c>
      <c r="G1728" s="750"/>
      <c r="H1728" s="477">
        <v>45203</v>
      </c>
      <c r="I1728" s="473">
        <f t="shared" si="68"/>
        <v>8906711.7117117103</v>
      </c>
      <c r="J1728" s="473">
        <f t="shared" si="69"/>
        <v>979738.28828828817</v>
      </c>
      <c r="K1728" s="474">
        <f>735000+5245450+3906000</f>
        <v>9886450</v>
      </c>
      <c r="L1728" s="475"/>
    </row>
    <row r="1729" spans="1:12" x14ac:dyDescent="0.2">
      <c r="A1729" s="305">
        <v>55</v>
      </c>
      <c r="B1729" s="485" t="s">
        <v>2053</v>
      </c>
      <c r="C1729" s="476" t="s">
        <v>6903</v>
      </c>
      <c r="D1729" s="464"/>
      <c r="E1729" s="465" t="s">
        <v>6904</v>
      </c>
      <c r="F1729" s="466" t="s">
        <v>2828</v>
      </c>
      <c r="G1729" s="750"/>
      <c r="H1729" s="477">
        <v>45203</v>
      </c>
      <c r="I1729" s="488">
        <f t="shared" si="68"/>
        <v>891891.89189189184</v>
      </c>
      <c r="J1729" s="488">
        <f t="shared" si="69"/>
        <v>98108.108108108107</v>
      </c>
      <c r="K1729" s="474">
        <v>990000</v>
      </c>
      <c r="L1729" s="475"/>
    </row>
    <row r="1730" spans="1:12" x14ac:dyDescent="0.2">
      <c r="A1730" s="305">
        <v>56</v>
      </c>
      <c r="B1730" s="469" t="s">
        <v>2054</v>
      </c>
      <c r="C1730" s="476" t="s">
        <v>6943</v>
      </c>
      <c r="D1730" s="464"/>
      <c r="E1730" s="479" t="s">
        <v>2907</v>
      </c>
      <c r="F1730" s="466" t="s">
        <v>2908</v>
      </c>
      <c r="G1730" s="750"/>
      <c r="H1730" s="477">
        <v>45210</v>
      </c>
      <c r="I1730" s="473">
        <f t="shared" si="68"/>
        <v>8373153.1531531522</v>
      </c>
      <c r="J1730" s="473">
        <f t="shared" si="69"/>
        <v>921046.84684684675</v>
      </c>
      <c r="K1730" s="474">
        <f>3231700+787500+5275000</f>
        <v>9294200</v>
      </c>
      <c r="L1730" s="475"/>
    </row>
    <row r="1731" spans="1:12" x14ac:dyDescent="0.2">
      <c r="A1731" s="305">
        <v>57</v>
      </c>
      <c r="B1731" s="485" t="s">
        <v>2055</v>
      </c>
      <c r="C1731" s="476" t="s">
        <v>6980</v>
      </c>
      <c r="D1731" s="464"/>
      <c r="E1731" s="465" t="s">
        <v>2907</v>
      </c>
      <c r="F1731" s="466" t="s">
        <v>2858</v>
      </c>
      <c r="G1731" s="750"/>
      <c r="H1731" s="477">
        <v>45204</v>
      </c>
      <c r="I1731" s="488">
        <f t="shared" si="68"/>
        <v>29767027.027027026</v>
      </c>
      <c r="J1731" s="488">
        <f t="shared" si="69"/>
        <v>3274372.9729729728</v>
      </c>
      <c r="K1731" s="474">
        <f>13860000+18141900+1039500</f>
        <v>33041400</v>
      </c>
      <c r="L1731" s="475"/>
    </row>
    <row r="1732" spans="1:12" x14ac:dyDescent="0.2">
      <c r="A1732" s="305">
        <v>58</v>
      </c>
      <c r="B1732" s="469" t="s">
        <v>2056</v>
      </c>
      <c r="C1732" s="476" t="s">
        <v>6905</v>
      </c>
      <c r="D1732" s="464"/>
      <c r="E1732" s="465" t="s">
        <v>3529</v>
      </c>
      <c r="F1732" s="466" t="s">
        <v>2935</v>
      </c>
      <c r="G1732" s="750"/>
      <c r="H1732" s="477">
        <v>45204</v>
      </c>
      <c r="I1732" s="473">
        <f t="shared" si="68"/>
        <v>503513.51351351349</v>
      </c>
      <c r="J1732" s="473">
        <f t="shared" si="69"/>
        <v>55386.486486486487</v>
      </c>
      <c r="K1732" s="474">
        <v>558900</v>
      </c>
      <c r="L1732" s="475"/>
    </row>
    <row r="1733" spans="1:12" x14ac:dyDescent="0.2">
      <c r="A1733" s="305">
        <v>59</v>
      </c>
      <c r="B1733" s="485" t="s">
        <v>2057</v>
      </c>
      <c r="C1733" s="476" t="s">
        <v>6906</v>
      </c>
      <c r="D1733" s="464"/>
      <c r="E1733" s="465" t="s">
        <v>2943</v>
      </c>
      <c r="F1733" s="466" t="s">
        <v>2944</v>
      </c>
      <c r="G1733" s="750"/>
      <c r="H1733" s="477">
        <v>45204</v>
      </c>
      <c r="I1733" s="488">
        <f t="shared" si="68"/>
        <v>220720.72072072071</v>
      </c>
      <c r="J1733" s="488">
        <f t="shared" si="69"/>
        <v>24279.279279279279</v>
      </c>
      <c r="K1733" s="474">
        <v>245000</v>
      </c>
      <c r="L1733" s="475"/>
    </row>
    <row r="1734" spans="1:12" x14ac:dyDescent="0.2">
      <c r="A1734" s="305">
        <v>60</v>
      </c>
      <c r="B1734" s="469" t="s">
        <v>2058</v>
      </c>
      <c r="C1734" s="476" t="s">
        <v>6907</v>
      </c>
      <c r="D1734" s="464"/>
      <c r="E1734" s="465" t="s">
        <v>2974</v>
      </c>
      <c r="F1734" s="466" t="s">
        <v>2755</v>
      </c>
      <c r="G1734" s="750"/>
      <c r="H1734" s="477">
        <v>45205</v>
      </c>
      <c r="I1734" s="473">
        <f t="shared" si="68"/>
        <v>2509009.0090090088</v>
      </c>
      <c r="J1734" s="473">
        <f t="shared" si="69"/>
        <v>275990.99099099095</v>
      </c>
      <c r="K1734" s="474">
        <v>2785000</v>
      </c>
      <c r="L1734" s="475"/>
    </row>
    <row r="1735" spans="1:12" x14ac:dyDescent="0.2">
      <c r="A1735" s="305">
        <v>61</v>
      </c>
      <c r="B1735" s="485" t="s">
        <v>2059</v>
      </c>
      <c r="C1735" s="476" t="s">
        <v>6976</v>
      </c>
      <c r="D1735" s="464"/>
      <c r="E1735" s="465" t="s">
        <v>2883</v>
      </c>
      <c r="F1735" s="466" t="s">
        <v>2884</v>
      </c>
      <c r="G1735" s="750"/>
      <c r="H1735" s="477">
        <v>45205</v>
      </c>
      <c r="I1735" s="488">
        <f t="shared" si="68"/>
        <v>13120540.540540539</v>
      </c>
      <c r="J1735" s="488">
        <f t="shared" si="69"/>
        <v>1443259.4594594592</v>
      </c>
      <c r="K1735" s="474">
        <f>2656800+4908600+6998400</f>
        <v>14563800</v>
      </c>
      <c r="L1735" s="475"/>
    </row>
    <row r="1736" spans="1:12" x14ac:dyDescent="0.2">
      <c r="A1736" s="305">
        <v>62</v>
      </c>
      <c r="B1736" s="469" t="s">
        <v>2060</v>
      </c>
      <c r="C1736" s="476" t="s">
        <v>6962</v>
      </c>
      <c r="D1736" s="464"/>
      <c r="E1736" s="465" t="s">
        <v>2936</v>
      </c>
      <c r="F1736" s="466" t="s">
        <v>2922</v>
      </c>
      <c r="G1736" s="750"/>
      <c r="H1736" s="477">
        <v>45206</v>
      </c>
      <c r="I1736" s="473">
        <f t="shared" si="68"/>
        <v>6052486.4864864862</v>
      </c>
      <c r="J1736" s="473">
        <f t="shared" si="69"/>
        <v>665773.51351351349</v>
      </c>
      <c r="K1736" s="474">
        <f>5703060+747900+267300</f>
        <v>6718260</v>
      </c>
      <c r="L1736" s="475"/>
    </row>
    <row r="1737" spans="1:12" x14ac:dyDescent="0.2">
      <c r="A1737" s="305">
        <v>63</v>
      </c>
      <c r="B1737" s="485" t="s">
        <v>2061</v>
      </c>
      <c r="C1737" s="476" t="s">
        <v>6995</v>
      </c>
      <c r="D1737" s="464"/>
      <c r="E1737" s="465" t="s">
        <v>2894</v>
      </c>
      <c r="F1737" s="466" t="s">
        <v>2851</v>
      </c>
      <c r="G1737" s="750"/>
      <c r="H1737" s="477">
        <v>45208</v>
      </c>
      <c r="I1737" s="488">
        <f t="shared" si="68"/>
        <v>54689708.108108103</v>
      </c>
      <c r="J1737" s="488">
        <f t="shared" si="69"/>
        <v>6015867.8918918911</v>
      </c>
      <c r="K1737" s="474">
        <f>931896+42962400+16811280</f>
        <v>60705576</v>
      </c>
      <c r="L1737" s="475"/>
    </row>
    <row r="1738" spans="1:12" x14ac:dyDescent="0.2">
      <c r="A1738" s="305">
        <v>64</v>
      </c>
      <c r="B1738" s="469" t="s">
        <v>2062</v>
      </c>
      <c r="C1738" s="476" t="s">
        <v>6992</v>
      </c>
      <c r="D1738" s="464"/>
      <c r="E1738" s="465" t="s">
        <v>6909</v>
      </c>
      <c r="F1738" s="466" t="s">
        <v>2886</v>
      </c>
      <c r="G1738" s="750"/>
      <c r="H1738" s="477">
        <v>45208</v>
      </c>
      <c r="I1738" s="473">
        <f t="shared" si="68"/>
        <v>4227636.036036036</v>
      </c>
      <c r="J1738" s="473">
        <f t="shared" si="69"/>
        <v>465039.96396396396</v>
      </c>
      <c r="K1738" s="474">
        <f>2074492+773484+1844700</f>
        <v>4692676</v>
      </c>
      <c r="L1738" s="475"/>
    </row>
    <row r="1739" spans="1:12" x14ac:dyDescent="0.2">
      <c r="A1739" s="305">
        <v>65</v>
      </c>
      <c r="B1739" s="485" t="s">
        <v>2063</v>
      </c>
      <c r="C1739" s="476" t="s">
        <v>7015</v>
      </c>
      <c r="D1739" s="464"/>
      <c r="E1739" s="465" t="s">
        <v>2954</v>
      </c>
      <c r="F1739" s="466" t="s">
        <v>2955</v>
      </c>
      <c r="G1739" s="750"/>
      <c r="H1739" s="477">
        <v>45208</v>
      </c>
      <c r="I1739" s="488">
        <f t="shared" si="68"/>
        <v>8732342.3423423413</v>
      </c>
      <c r="J1739" s="488">
        <f t="shared" si="69"/>
        <v>960557.65765765752</v>
      </c>
      <c r="K1739" s="474">
        <f>2397500+1243200+6052200</f>
        <v>9692900</v>
      </c>
      <c r="L1739" s="475"/>
    </row>
    <row r="1740" spans="1:12" x14ac:dyDescent="0.2">
      <c r="A1740" s="305">
        <v>66</v>
      </c>
      <c r="B1740" s="469" t="s">
        <v>2064</v>
      </c>
      <c r="C1740" s="476" t="s">
        <v>6910</v>
      </c>
      <c r="D1740" s="464"/>
      <c r="E1740" s="465" t="s">
        <v>5201</v>
      </c>
      <c r="F1740" s="466" t="s">
        <v>3047</v>
      </c>
      <c r="G1740" s="750"/>
      <c r="H1740" s="477">
        <v>45208</v>
      </c>
      <c r="I1740" s="473">
        <f t="shared" si="68"/>
        <v>2797297.297297297</v>
      </c>
      <c r="J1740" s="473">
        <f t="shared" si="69"/>
        <v>307702.70270270266</v>
      </c>
      <c r="K1740" s="474">
        <v>3105000</v>
      </c>
      <c r="L1740" s="475"/>
    </row>
    <row r="1741" spans="1:12" x14ac:dyDescent="0.2">
      <c r="A1741" s="305">
        <v>67</v>
      </c>
      <c r="B1741" s="485" t="s">
        <v>2065</v>
      </c>
      <c r="C1741" s="476" t="s">
        <v>6911</v>
      </c>
      <c r="D1741" s="464"/>
      <c r="E1741" s="465" t="s">
        <v>3491</v>
      </c>
      <c r="F1741" s="466" t="s">
        <v>3492</v>
      </c>
      <c r="G1741" s="750"/>
      <c r="H1741" s="477">
        <v>45209</v>
      </c>
      <c r="I1741" s="488">
        <f t="shared" ref="I1741:I1804" si="70">K1741/1.11</f>
        <v>802702.70270270261</v>
      </c>
      <c r="J1741" s="488">
        <f t="shared" ref="J1741:J1804" si="71">I1741*11%</f>
        <v>88297.297297297293</v>
      </c>
      <c r="K1741" s="474">
        <v>891000</v>
      </c>
      <c r="L1741" s="475"/>
    </row>
    <row r="1742" spans="1:12" x14ac:dyDescent="0.2">
      <c r="A1742" s="305">
        <v>68</v>
      </c>
      <c r="B1742" s="469" t="s">
        <v>2066</v>
      </c>
      <c r="C1742" s="476" t="s">
        <v>7018</v>
      </c>
      <c r="D1742" s="464"/>
      <c r="E1742" s="465" t="s">
        <v>3533</v>
      </c>
      <c r="F1742" s="466" t="s">
        <v>2922</v>
      </c>
      <c r="G1742" s="750"/>
      <c r="H1742" s="477">
        <v>45210</v>
      </c>
      <c r="I1742" s="473">
        <f t="shared" si="70"/>
        <v>1727027.027027027</v>
      </c>
      <c r="J1742" s="473">
        <f t="shared" si="71"/>
        <v>189972.97297297296</v>
      </c>
      <c r="K1742" s="474">
        <f>567000+1350000</f>
        <v>1917000</v>
      </c>
      <c r="L1742" s="475"/>
    </row>
    <row r="1743" spans="1:12" x14ac:dyDescent="0.2">
      <c r="A1743" s="305">
        <v>69</v>
      </c>
      <c r="B1743" s="485" t="s">
        <v>2067</v>
      </c>
      <c r="C1743" s="476" t="s">
        <v>6913</v>
      </c>
      <c r="D1743" s="464"/>
      <c r="E1743" s="465" t="s">
        <v>2924</v>
      </c>
      <c r="F1743" s="466" t="s">
        <v>2925</v>
      </c>
      <c r="G1743" s="750"/>
      <c r="H1743" s="477">
        <v>45206</v>
      </c>
      <c r="I1743" s="488">
        <f t="shared" si="70"/>
        <v>771621.62162162154</v>
      </c>
      <c r="J1743" s="488">
        <f t="shared" si="71"/>
        <v>84878.378378378373</v>
      </c>
      <c r="K1743" s="474">
        <v>856500</v>
      </c>
      <c r="L1743" s="475"/>
    </row>
    <row r="1744" spans="1:12" x14ac:dyDescent="0.2">
      <c r="A1744" s="305">
        <v>70</v>
      </c>
      <c r="B1744" s="469" t="s">
        <v>2068</v>
      </c>
      <c r="C1744" s="476" t="s">
        <v>6914</v>
      </c>
      <c r="D1744" s="464"/>
      <c r="E1744" s="465" t="s">
        <v>3471</v>
      </c>
      <c r="F1744" s="466" t="s">
        <v>3472</v>
      </c>
      <c r="G1744" s="750"/>
      <c r="H1744" s="477">
        <v>45209</v>
      </c>
      <c r="I1744" s="473">
        <f t="shared" si="70"/>
        <v>891891.89189189184</v>
      </c>
      <c r="J1744" s="473">
        <f t="shared" si="71"/>
        <v>98108.108108108107</v>
      </c>
      <c r="K1744" s="474">
        <v>990000</v>
      </c>
      <c r="L1744" s="475"/>
    </row>
    <row r="1745" spans="1:12" x14ac:dyDescent="0.2">
      <c r="A1745" s="305">
        <v>71</v>
      </c>
      <c r="B1745" s="485" t="s">
        <v>2069</v>
      </c>
      <c r="C1745" s="476" t="s">
        <v>7017</v>
      </c>
      <c r="D1745" s="464"/>
      <c r="E1745" s="465" t="s">
        <v>2934</v>
      </c>
      <c r="F1745" s="466" t="s">
        <v>2935</v>
      </c>
      <c r="G1745" s="750"/>
      <c r="H1745" s="477">
        <v>45210</v>
      </c>
      <c r="I1745" s="488">
        <f t="shared" si="70"/>
        <v>9010162.1621621605</v>
      </c>
      <c r="J1745" s="488">
        <f t="shared" si="71"/>
        <v>991117.83783783764</v>
      </c>
      <c r="K1745" s="474">
        <f>1899600+7596240+505440</f>
        <v>10001280</v>
      </c>
      <c r="L1745" s="475"/>
    </row>
    <row r="1746" spans="1:12" x14ac:dyDescent="0.2">
      <c r="A1746" s="305">
        <v>72</v>
      </c>
      <c r="B1746" s="469" t="s">
        <v>2070</v>
      </c>
      <c r="C1746" s="476" t="s">
        <v>6965</v>
      </c>
      <c r="D1746" s="464"/>
      <c r="E1746" s="465" t="s">
        <v>2962</v>
      </c>
      <c r="F1746" s="466" t="s">
        <v>2908</v>
      </c>
      <c r="G1746" s="750"/>
      <c r="H1746" s="477">
        <v>45210</v>
      </c>
      <c r="I1746" s="473">
        <f t="shared" si="70"/>
        <v>7017680.1801801799</v>
      </c>
      <c r="J1746" s="473">
        <f t="shared" si="71"/>
        <v>771944.81981981976</v>
      </c>
      <c r="K1746" s="474">
        <f>738000+4914000+2137625</f>
        <v>7789625</v>
      </c>
      <c r="L1746" s="475"/>
    </row>
    <row r="1747" spans="1:12" x14ac:dyDescent="0.2">
      <c r="A1747" s="305">
        <v>73</v>
      </c>
      <c r="B1747" s="485" t="s">
        <v>2071</v>
      </c>
      <c r="C1747" s="476" t="s">
        <v>6946</v>
      </c>
      <c r="D1747" s="464"/>
      <c r="E1747" s="471" t="s">
        <v>2893</v>
      </c>
      <c r="F1747" s="471" t="s">
        <v>2890</v>
      </c>
      <c r="G1747" s="750"/>
      <c r="H1747" s="472">
        <v>45210</v>
      </c>
      <c r="I1747" s="488">
        <f t="shared" si="70"/>
        <v>25024054.054054052</v>
      </c>
      <c r="J1747" s="488">
        <f t="shared" si="71"/>
        <v>2752645.9459459456</v>
      </c>
      <c r="K1747" s="474">
        <f>8391600+19385100</f>
        <v>27776700</v>
      </c>
      <c r="L1747" s="475"/>
    </row>
    <row r="1748" spans="1:12" x14ac:dyDescent="0.2">
      <c r="A1748" s="305">
        <v>74</v>
      </c>
      <c r="B1748" s="469" t="s">
        <v>2072</v>
      </c>
      <c r="C1748" s="476" t="s">
        <v>6915</v>
      </c>
      <c r="D1748" s="464"/>
      <c r="E1748" s="465" t="s">
        <v>3141</v>
      </c>
      <c r="F1748" s="466" t="s">
        <v>2873</v>
      </c>
      <c r="G1748" s="750"/>
      <c r="H1748" s="477">
        <v>45210</v>
      </c>
      <c r="I1748" s="473">
        <f t="shared" si="70"/>
        <v>339639.63963963959</v>
      </c>
      <c r="J1748" s="473">
        <f t="shared" si="71"/>
        <v>37360.360360360355</v>
      </c>
      <c r="K1748" s="474">
        <f>351000+26000</f>
        <v>377000</v>
      </c>
      <c r="L1748" s="475" t="s">
        <v>3142</v>
      </c>
    </row>
    <row r="1749" spans="1:12" x14ac:dyDescent="0.2">
      <c r="A1749" s="305">
        <v>75</v>
      </c>
      <c r="B1749" s="485" t="s">
        <v>2073</v>
      </c>
      <c r="C1749" s="476" t="s">
        <v>6916</v>
      </c>
      <c r="D1749" s="464"/>
      <c r="E1749" s="465" t="s">
        <v>3915</v>
      </c>
      <c r="F1749" s="466" t="s">
        <v>2912</v>
      </c>
      <c r="G1749" s="750"/>
      <c r="H1749" s="477">
        <v>45211</v>
      </c>
      <c r="I1749" s="488">
        <f t="shared" si="70"/>
        <v>100900.90090090089</v>
      </c>
      <c r="J1749" s="488">
        <f t="shared" si="71"/>
        <v>11099.099099099098</v>
      </c>
      <c r="K1749" s="474">
        <v>112000</v>
      </c>
      <c r="L1749" s="475"/>
    </row>
    <row r="1750" spans="1:12" x14ac:dyDescent="0.2">
      <c r="A1750" s="305">
        <v>76</v>
      </c>
      <c r="B1750" s="469" t="s">
        <v>2074</v>
      </c>
      <c r="C1750" s="476" t="s">
        <v>6917</v>
      </c>
      <c r="D1750" s="464"/>
      <c r="E1750" s="465" t="s">
        <v>6918</v>
      </c>
      <c r="F1750" s="466" t="s">
        <v>2828</v>
      </c>
      <c r="G1750" s="750"/>
      <c r="H1750" s="477">
        <v>45211</v>
      </c>
      <c r="I1750" s="473">
        <f t="shared" si="70"/>
        <v>2596621.6216216213</v>
      </c>
      <c r="J1750" s="473">
        <f t="shared" si="71"/>
        <v>285628.37837837834</v>
      </c>
      <c r="K1750" s="474">
        <v>2882250</v>
      </c>
      <c r="L1750" s="475"/>
    </row>
    <row r="1751" spans="1:12" x14ac:dyDescent="0.2">
      <c r="A1751" s="305">
        <v>77</v>
      </c>
      <c r="B1751" s="485" t="s">
        <v>2075</v>
      </c>
      <c r="C1751" s="476" t="s">
        <v>6919</v>
      </c>
      <c r="D1751" s="464"/>
      <c r="E1751" s="465" t="s">
        <v>3141</v>
      </c>
      <c r="F1751" s="466" t="s">
        <v>2873</v>
      </c>
      <c r="G1751" s="750"/>
      <c r="H1751" s="477">
        <v>45211</v>
      </c>
      <c r="I1751" s="488">
        <f t="shared" si="70"/>
        <v>186486.48648648648</v>
      </c>
      <c r="J1751" s="488">
        <f t="shared" si="71"/>
        <v>20513.513513513513</v>
      </c>
      <c r="K1751" s="474">
        <v>207000</v>
      </c>
      <c r="L1751" s="475" t="s">
        <v>3145</v>
      </c>
    </row>
    <row r="1752" spans="1:12" x14ac:dyDescent="0.2">
      <c r="A1752" s="305">
        <v>78</v>
      </c>
      <c r="B1752" s="469" t="s">
        <v>2076</v>
      </c>
      <c r="C1752" s="476" t="s">
        <v>6920</v>
      </c>
      <c r="D1752" s="464"/>
      <c r="E1752" s="465" t="s">
        <v>3917</v>
      </c>
      <c r="F1752" s="466" t="s">
        <v>2873</v>
      </c>
      <c r="G1752" s="750"/>
      <c r="H1752" s="477">
        <v>45211</v>
      </c>
      <c r="I1752" s="473">
        <f t="shared" si="70"/>
        <v>205405.40540540538</v>
      </c>
      <c r="J1752" s="473">
        <f t="shared" si="71"/>
        <v>22594.594594594593</v>
      </c>
      <c r="K1752" s="474">
        <v>228000</v>
      </c>
      <c r="L1752" s="475"/>
    </row>
    <row r="1753" spans="1:12" x14ac:dyDescent="0.2">
      <c r="A1753" s="305">
        <v>79</v>
      </c>
      <c r="B1753" s="485" t="s">
        <v>2077</v>
      </c>
      <c r="C1753" s="476" t="s">
        <v>6921</v>
      </c>
      <c r="D1753" s="464"/>
      <c r="E1753" s="465" t="s">
        <v>2991</v>
      </c>
      <c r="F1753" s="466" t="s">
        <v>2886</v>
      </c>
      <c r="G1753" s="750"/>
      <c r="H1753" s="477">
        <v>45212</v>
      </c>
      <c r="I1753" s="488">
        <f t="shared" si="70"/>
        <v>683783.78378378367</v>
      </c>
      <c r="J1753" s="488">
        <f t="shared" si="71"/>
        <v>75216.216216216199</v>
      </c>
      <c r="K1753" s="474">
        <v>759000</v>
      </c>
      <c r="L1753" s="475" t="s">
        <v>6922</v>
      </c>
    </row>
    <row r="1754" spans="1:12" x14ac:dyDescent="0.2">
      <c r="A1754" s="305">
        <v>80</v>
      </c>
      <c r="B1754" s="469" t="s">
        <v>2078</v>
      </c>
      <c r="C1754" s="476" t="s">
        <v>6923</v>
      </c>
      <c r="D1754" s="464"/>
      <c r="E1754" s="465" t="s">
        <v>3156</v>
      </c>
      <c r="F1754" s="466" t="s">
        <v>2912</v>
      </c>
      <c r="G1754" s="750"/>
      <c r="H1754" s="477">
        <v>45212</v>
      </c>
      <c r="I1754" s="473">
        <f t="shared" si="70"/>
        <v>3798198.1981981979</v>
      </c>
      <c r="J1754" s="473">
        <f t="shared" si="71"/>
        <v>417801.80180180178</v>
      </c>
      <c r="K1754" s="474">
        <f>2268600+1372900+574500</f>
        <v>4216000</v>
      </c>
      <c r="L1754" s="475"/>
    </row>
    <row r="1755" spans="1:12" x14ac:dyDescent="0.2">
      <c r="A1755" s="305">
        <v>81</v>
      </c>
      <c r="B1755" s="485" t="s">
        <v>2079</v>
      </c>
      <c r="C1755" s="476" t="s">
        <v>6924</v>
      </c>
      <c r="D1755" s="464"/>
      <c r="E1755" s="465" t="s">
        <v>5177</v>
      </c>
      <c r="F1755" s="466" t="s">
        <v>2886</v>
      </c>
      <c r="G1755" s="750"/>
      <c r="H1755" s="477">
        <v>45213</v>
      </c>
      <c r="I1755" s="488">
        <f t="shared" si="70"/>
        <v>2470270.2702702698</v>
      </c>
      <c r="J1755" s="488">
        <f t="shared" si="71"/>
        <v>271729.7297297297</v>
      </c>
      <c r="K1755" s="474">
        <f>771000+1971000</f>
        <v>2742000</v>
      </c>
      <c r="L1755" s="475"/>
    </row>
    <row r="1756" spans="1:12" x14ac:dyDescent="0.2">
      <c r="A1756" s="305">
        <v>82</v>
      </c>
      <c r="B1756" s="469" t="s">
        <v>2080</v>
      </c>
      <c r="C1756" s="476" t="s">
        <v>6925</v>
      </c>
      <c r="D1756" s="464"/>
      <c r="E1756" s="465" t="s">
        <v>5290</v>
      </c>
      <c r="F1756" s="466" t="s">
        <v>2873</v>
      </c>
      <c r="G1756" s="750"/>
      <c r="H1756" s="477">
        <v>45213</v>
      </c>
      <c r="I1756" s="473">
        <f t="shared" si="70"/>
        <v>2193405.4054054054</v>
      </c>
      <c r="J1756" s="473">
        <f t="shared" si="71"/>
        <v>241274.59459459459</v>
      </c>
      <c r="K1756" s="474">
        <f>90000+2344680</f>
        <v>2434680</v>
      </c>
      <c r="L1756" s="475" t="s">
        <v>6926</v>
      </c>
    </row>
    <row r="1757" spans="1:12" x14ac:dyDescent="0.2">
      <c r="A1757" s="305">
        <v>83</v>
      </c>
      <c r="B1757" s="485" t="s">
        <v>2081</v>
      </c>
      <c r="C1757" s="476" t="s">
        <v>6928</v>
      </c>
      <c r="D1757" s="464"/>
      <c r="E1757" s="465" t="s">
        <v>3168</v>
      </c>
      <c r="F1757" s="466" t="s">
        <v>2873</v>
      </c>
      <c r="G1757" s="750"/>
      <c r="H1757" s="477">
        <v>45215</v>
      </c>
      <c r="I1757" s="488">
        <f t="shared" si="70"/>
        <v>281513.51351351349</v>
      </c>
      <c r="J1757" s="488">
        <f t="shared" si="71"/>
        <v>30966.486486486483</v>
      </c>
      <c r="K1757" s="474">
        <f>90000+222480</f>
        <v>312480</v>
      </c>
      <c r="L1757" s="475" t="s">
        <v>6927</v>
      </c>
    </row>
    <row r="1758" spans="1:12" x14ac:dyDescent="0.2">
      <c r="A1758" s="305">
        <v>84</v>
      </c>
      <c r="B1758" s="469" t="s">
        <v>2082</v>
      </c>
      <c r="C1758" s="476" t="s">
        <v>6929</v>
      </c>
      <c r="D1758" s="464"/>
      <c r="E1758" s="471" t="s">
        <v>3046</v>
      </c>
      <c r="F1758" s="471" t="s">
        <v>3047</v>
      </c>
      <c r="G1758" s="750"/>
      <c r="H1758" s="472">
        <v>45215</v>
      </c>
      <c r="I1758" s="473">
        <f t="shared" si="70"/>
        <v>5255135.1351351347</v>
      </c>
      <c r="J1758" s="473">
        <f t="shared" si="71"/>
        <v>578064.86486486485</v>
      </c>
      <c r="K1758" s="474">
        <v>5833200</v>
      </c>
      <c r="L1758" s="475"/>
    </row>
    <row r="1759" spans="1:12" x14ac:dyDescent="0.2">
      <c r="A1759" s="305">
        <v>85</v>
      </c>
      <c r="B1759" s="485" t="s">
        <v>2083</v>
      </c>
      <c r="C1759" s="476" t="s">
        <v>6930</v>
      </c>
      <c r="D1759" s="464"/>
      <c r="E1759" s="471" t="s">
        <v>6931</v>
      </c>
      <c r="F1759" s="471" t="s">
        <v>3047</v>
      </c>
      <c r="G1759" s="750"/>
      <c r="H1759" s="472">
        <v>45216</v>
      </c>
      <c r="I1759" s="488">
        <f t="shared" si="70"/>
        <v>135135.13513513512</v>
      </c>
      <c r="J1759" s="488">
        <f t="shared" si="71"/>
        <v>14864.864864864863</v>
      </c>
      <c r="K1759" s="474">
        <v>150000</v>
      </c>
      <c r="L1759" s="475"/>
    </row>
    <row r="1760" spans="1:12" x14ac:dyDescent="0.2">
      <c r="A1760" s="305">
        <v>86</v>
      </c>
      <c r="B1760" s="469" t="s">
        <v>2084</v>
      </c>
      <c r="C1760" s="476" t="s">
        <v>7004</v>
      </c>
      <c r="D1760" s="464"/>
      <c r="E1760" s="465" t="s">
        <v>2916</v>
      </c>
      <c r="F1760" s="466" t="s">
        <v>2917</v>
      </c>
      <c r="G1760" s="750"/>
      <c r="H1760" s="477">
        <v>45217</v>
      </c>
      <c r="I1760" s="473">
        <f t="shared" si="70"/>
        <v>10242342.342342341</v>
      </c>
      <c r="J1760" s="473">
        <f t="shared" si="71"/>
        <v>1126657.6576576575</v>
      </c>
      <c r="K1760" s="474">
        <f>568000+10101000+700000</f>
        <v>11369000</v>
      </c>
      <c r="L1760" s="475"/>
    </row>
    <row r="1761" spans="1:12" x14ac:dyDescent="0.2">
      <c r="A1761" s="305">
        <v>87</v>
      </c>
      <c r="B1761" s="485" t="s">
        <v>2085</v>
      </c>
      <c r="C1761" s="476" t="s">
        <v>6932</v>
      </c>
      <c r="D1761" s="464"/>
      <c r="E1761" s="465" t="s">
        <v>6933</v>
      </c>
      <c r="F1761" s="466" t="s">
        <v>4332</v>
      </c>
      <c r="G1761" s="750"/>
      <c r="H1761" s="477">
        <v>45217</v>
      </c>
      <c r="I1761" s="488">
        <f t="shared" si="70"/>
        <v>401351.3513513513</v>
      </c>
      <c r="J1761" s="488">
        <f t="shared" si="71"/>
        <v>44148.648648648646</v>
      </c>
      <c r="K1761" s="474">
        <v>445500</v>
      </c>
      <c r="L1761" s="475"/>
    </row>
    <row r="1762" spans="1:12" x14ac:dyDescent="0.2">
      <c r="A1762" s="305">
        <v>88</v>
      </c>
      <c r="B1762" s="469" t="s">
        <v>2086</v>
      </c>
      <c r="C1762" s="476" t="s">
        <v>6934</v>
      </c>
      <c r="D1762" s="464"/>
      <c r="E1762" s="465" t="s">
        <v>3003</v>
      </c>
      <c r="F1762" s="466" t="s">
        <v>2953</v>
      </c>
      <c r="G1762" s="750"/>
      <c r="H1762" s="477">
        <v>45218</v>
      </c>
      <c r="I1762" s="473">
        <f t="shared" si="70"/>
        <v>8831351.3513513505</v>
      </c>
      <c r="J1762" s="473">
        <f t="shared" si="71"/>
        <v>971448.64864864852</v>
      </c>
      <c r="K1762" s="474">
        <f>7849800+1953000</f>
        <v>9802800</v>
      </c>
      <c r="L1762" s="475"/>
    </row>
    <row r="1763" spans="1:12" x14ac:dyDescent="0.2">
      <c r="A1763" s="305">
        <v>89</v>
      </c>
      <c r="B1763" s="485" t="s">
        <v>2087</v>
      </c>
      <c r="C1763" s="476" t="s">
        <v>6942</v>
      </c>
      <c r="D1763" s="464"/>
      <c r="E1763" s="465" t="s">
        <v>2907</v>
      </c>
      <c r="F1763" s="466" t="s">
        <v>2926</v>
      </c>
      <c r="G1763" s="750"/>
      <c r="H1763" s="477">
        <v>45217</v>
      </c>
      <c r="I1763" s="488">
        <f t="shared" si="70"/>
        <v>7494540.5405405397</v>
      </c>
      <c r="J1763" s="488">
        <f t="shared" si="71"/>
        <v>824399.45945945941</v>
      </c>
      <c r="K1763" s="474">
        <f>5731560+2587380</f>
        <v>8318940</v>
      </c>
      <c r="L1763" s="475"/>
    </row>
    <row r="1764" spans="1:12" x14ac:dyDescent="0.2">
      <c r="A1764" s="305">
        <v>90</v>
      </c>
      <c r="B1764" s="469" t="s">
        <v>2088</v>
      </c>
      <c r="C1764" s="476" t="s">
        <v>6935</v>
      </c>
      <c r="D1764" s="464"/>
      <c r="E1764" s="465" t="s">
        <v>3992</v>
      </c>
      <c r="F1764" s="466" t="s">
        <v>2953</v>
      </c>
      <c r="G1764" s="750"/>
      <c r="H1764" s="477">
        <v>45222</v>
      </c>
      <c r="I1764" s="473">
        <f t="shared" si="70"/>
        <v>2572522.5225225221</v>
      </c>
      <c r="J1764" s="473">
        <f t="shared" si="71"/>
        <v>282977.47747747746</v>
      </c>
      <c r="K1764" s="474">
        <f>2208000+647500</f>
        <v>2855500</v>
      </c>
      <c r="L1764" s="475"/>
    </row>
    <row r="1765" spans="1:12" x14ac:dyDescent="0.2">
      <c r="A1765" s="305">
        <v>91</v>
      </c>
      <c r="B1765" s="485" t="s">
        <v>2089</v>
      </c>
      <c r="C1765" s="476" t="s">
        <v>6938</v>
      </c>
      <c r="D1765" s="464"/>
      <c r="E1765" s="465" t="s">
        <v>3907</v>
      </c>
      <c r="F1765" s="466" t="s">
        <v>2873</v>
      </c>
      <c r="G1765" s="750"/>
      <c r="H1765" s="477">
        <v>45212</v>
      </c>
      <c r="I1765" s="488">
        <f t="shared" si="70"/>
        <v>3231891.8918918916</v>
      </c>
      <c r="J1765" s="488">
        <f t="shared" si="71"/>
        <v>355508.10810810811</v>
      </c>
      <c r="K1765" s="474">
        <f>828000+2759400</f>
        <v>3587400</v>
      </c>
      <c r="L1765" s="475"/>
    </row>
    <row r="1766" spans="1:12" x14ac:dyDescent="0.2">
      <c r="A1766" s="305">
        <v>92</v>
      </c>
      <c r="B1766" s="469" t="s">
        <v>2090</v>
      </c>
      <c r="C1766" s="476" t="s">
        <v>6939</v>
      </c>
      <c r="D1766" s="464"/>
      <c r="E1766" s="465" t="s">
        <v>2891</v>
      </c>
      <c r="F1766" s="466" t="s">
        <v>3047</v>
      </c>
      <c r="G1766" s="750"/>
      <c r="H1766" s="477">
        <v>45212</v>
      </c>
      <c r="I1766" s="473">
        <f t="shared" si="70"/>
        <v>986486.48648648639</v>
      </c>
      <c r="J1766" s="473">
        <f t="shared" si="71"/>
        <v>108513.51351351351</v>
      </c>
      <c r="K1766" s="474">
        <f>95000+1000000</f>
        <v>1095000</v>
      </c>
      <c r="L1766" s="475"/>
    </row>
    <row r="1767" spans="1:12" x14ac:dyDescent="0.2">
      <c r="A1767" s="305">
        <v>93</v>
      </c>
      <c r="B1767" s="485" t="s">
        <v>2091</v>
      </c>
      <c r="C1767" s="476" t="s">
        <v>6940</v>
      </c>
      <c r="D1767" s="464"/>
      <c r="E1767" s="465" t="s">
        <v>6941</v>
      </c>
      <c r="F1767" s="466" t="s">
        <v>2886</v>
      </c>
      <c r="G1767" s="750"/>
      <c r="H1767" s="477">
        <v>45212</v>
      </c>
      <c r="I1767" s="488">
        <f t="shared" si="70"/>
        <v>1772972.9729729728</v>
      </c>
      <c r="J1767" s="488">
        <f t="shared" si="71"/>
        <v>195027.02702702701</v>
      </c>
      <c r="K1767" s="474">
        <v>1968000</v>
      </c>
      <c r="L1767" s="475"/>
    </row>
    <row r="1768" spans="1:12" x14ac:dyDescent="0.2">
      <c r="A1768" s="305">
        <v>94</v>
      </c>
      <c r="B1768" s="469" t="s">
        <v>2092</v>
      </c>
      <c r="C1768" s="476" t="s">
        <v>6944</v>
      </c>
      <c r="D1768" s="464"/>
      <c r="E1768" s="465" t="s">
        <v>3164</v>
      </c>
      <c r="F1768" s="466" t="s">
        <v>2928</v>
      </c>
      <c r="G1768" s="750"/>
      <c r="H1768" s="477">
        <v>45213</v>
      </c>
      <c r="I1768" s="473">
        <f t="shared" si="70"/>
        <v>1401081.0810810809</v>
      </c>
      <c r="J1768" s="473">
        <f t="shared" si="71"/>
        <v>154118.91891891891</v>
      </c>
      <c r="K1768" s="474">
        <v>1555200</v>
      </c>
      <c r="L1768" s="475"/>
    </row>
    <row r="1769" spans="1:12" x14ac:dyDescent="0.2">
      <c r="A1769" s="305">
        <v>95</v>
      </c>
      <c r="B1769" s="485" t="s">
        <v>2093</v>
      </c>
      <c r="C1769" s="476" t="s">
        <v>6963</v>
      </c>
      <c r="D1769" s="464"/>
      <c r="E1769" s="465" t="s">
        <v>3122</v>
      </c>
      <c r="F1769" s="466" t="s">
        <v>2946</v>
      </c>
      <c r="G1769" s="750"/>
      <c r="H1769" s="477">
        <v>45215</v>
      </c>
      <c r="I1769" s="488">
        <f t="shared" si="70"/>
        <v>402081.08108108107</v>
      </c>
      <c r="J1769" s="488">
        <f t="shared" si="71"/>
        <v>44228.91891891892</v>
      </c>
      <c r="K1769" s="474">
        <f>152550+293760</f>
        <v>446310</v>
      </c>
      <c r="L1769" s="475"/>
    </row>
    <row r="1770" spans="1:12" x14ac:dyDescent="0.2">
      <c r="A1770" s="305">
        <v>96</v>
      </c>
      <c r="B1770" s="469" t="s">
        <v>2094</v>
      </c>
      <c r="C1770" s="480" t="s">
        <v>6967</v>
      </c>
      <c r="D1770" s="481"/>
      <c r="E1770" s="482" t="s">
        <v>2885</v>
      </c>
      <c r="F1770" s="483" t="s">
        <v>2886</v>
      </c>
      <c r="G1770" s="750"/>
      <c r="H1770" s="484">
        <v>45208</v>
      </c>
      <c r="I1770" s="473">
        <f t="shared" si="70"/>
        <v>7758594.5945945941</v>
      </c>
      <c r="J1770" s="473">
        <f t="shared" si="71"/>
        <v>853445.40540540533</v>
      </c>
      <c r="K1770" s="474">
        <f>696600+3354000+4561440</f>
        <v>8612040</v>
      </c>
      <c r="L1770" s="475"/>
    </row>
    <row r="1771" spans="1:12" x14ac:dyDescent="0.2">
      <c r="A1771" s="305">
        <v>97</v>
      </c>
      <c r="B1771" s="485" t="s">
        <v>2095</v>
      </c>
      <c r="C1771" s="476" t="s">
        <v>6956</v>
      </c>
      <c r="D1771" s="464"/>
      <c r="E1771" s="471" t="s">
        <v>2907</v>
      </c>
      <c r="F1771" s="471" t="s">
        <v>2908</v>
      </c>
      <c r="G1771" s="750"/>
      <c r="H1771" s="477">
        <v>45217</v>
      </c>
      <c r="I1771" s="488">
        <f t="shared" si="70"/>
        <v>7497556.7567567565</v>
      </c>
      <c r="J1771" s="488">
        <f t="shared" si="71"/>
        <v>824731.2432432432</v>
      </c>
      <c r="K1771" s="474">
        <f>1796375+4641163+1884750</f>
        <v>8322288</v>
      </c>
      <c r="L1771" s="475"/>
    </row>
    <row r="1772" spans="1:12" x14ac:dyDescent="0.2">
      <c r="A1772" s="305">
        <v>98</v>
      </c>
      <c r="B1772" s="469" t="s">
        <v>2096</v>
      </c>
      <c r="C1772" s="476" t="s">
        <v>6973</v>
      </c>
      <c r="D1772" s="464"/>
      <c r="E1772" s="465" t="s">
        <v>2981</v>
      </c>
      <c r="F1772" s="466" t="s">
        <v>2982</v>
      </c>
      <c r="G1772" s="750"/>
      <c r="H1772" s="477">
        <v>45215</v>
      </c>
      <c r="I1772" s="473">
        <f t="shared" si="70"/>
        <v>3019459.4594594594</v>
      </c>
      <c r="J1772" s="473">
        <f t="shared" si="71"/>
        <v>332140.54054054053</v>
      </c>
      <c r="K1772" s="474">
        <f>2142000+1209600</f>
        <v>3351600</v>
      </c>
      <c r="L1772" s="475"/>
    </row>
    <row r="1773" spans="1:12" x14ac:dyDescent="0.2">
      <c r="A1773" s="305">
        <v>99</v>
      </c>
      <c r="B1773" s="485" t="s">
        <v>2097</v>
      </c>
      <c r="C1773" s="476" t="s">
        <v>6971</v>
      </c>
      <c r="D1773" s="464"/>
      <c r="E1773" s="465" t="s">
        <v>2906</v>
      </c>
      <c r="F1773" s="466" t="s">
        <v>2892</v>
      </c>
      <c r="G1773" s="750"/>
      <c r="H1773" s="477">
        <v>45208</v>
      </c>
      <c r="I1773" s="488">
        <f t="shared" si="70"/>
        <v>11099318.918918919</v>
      </c>
      <c r="J1773" s="488">
        <f t="shared" si="71"/>
        <v>1220925.0810810812</v>
      </c>
      <c r="K1773" s="474">
        <f>1296648+1539900+9483696</f>
        <v>12320244</v>
      </c>
      <c r="L1773" s="475"/>
    </row>
    <row r="1774" spans="1:12" x14ac:dyDescent="0.2">
      <c r="A1774" s="305">
        <v>100</v>
      </c>
      <c r="B1774" s="469" t="s">
        <v>2098</v>
      </c>
      <c r="C1774" s="476" t="s">
        <v>6949</v>
      </c>
      <c r="D1774" s="464"/>
      <c r="E1774" s="465" t="s">
        <v>3122</v>
      </c>
      <c r="F1774" s="466" t="s">
        <v>3047</v>
      </c>
      <c r="G1774" s="750"/>
      <c r="H1774" s="477">
        <v>45216</v>
      </c>
      <c r="I1774" s="473">
        <f t="shared" si="70"/>
        <v>968468.4684684684</v>
      </c>
      <c r="J1774" s="473">
        <f t="shared" si="71"/>
        <v>106531.53153153152</v>
      </c>
      <c r="K1774" s="474">
        <f>75000+1000000</f>
        <v>1075000</v>
      </c>
      <c r="L1774" s="475"/>
    </row>
    <row r="1775" spans="1:12" x14ac:dyDescent="0.2">
      <c r="A1775" s="305">
        <v>101</v>
      </c>
      <c r="B1775" s="485" t="s">
        <v>2099</v>
      </c>
      <c r="C1775" s="476" t="s">
        <v>6970</v>
      </c>
      <c r="D1775" s="464"/>
      <c r="E1775" s="465" t="s">
        <v>2948</v>
      </c>
      <c r="F1775" s="466" t="s">
        <v>2892</v>
      </c>
      <c r="G1775" s="750"/>
      <c r="H1775" s="477">
        <v>45205</v>
      </c>
      <c r="I1775" s="488">
        <f t="shared" si="70"/>
        <v>15805470.270270269</v>
      </c>
      <c r="J1775" s="488">
        <f t="shared" si="71"/>
        <v>1738601.7297297297</v>
      </c>
      <c r="K1775" s="474">
        <f>2823672+2067120+12653280</f>
        <v>17544072</v>
      </c>
      <c r="L1775" s="475"/>
    </row>
    <row r="1776" spans="1:12" x14ac:dyDescent="0.2">
      <c r="A1776" s="305">
        <v>102</v>
      </c>
      <c r="B1776" s="469" t="s">
        <v>2100</v>
      </c>
      <c r="C1776" s="476" t="s">
        <v>7007</v>
      </c>
      <c r="D1776" s="464"/>
      <c r="E1776" s="465" t="s">
        <v>2929</v>
      </c>
      <c r="F1776" s="466" t="s">
        <v>2886</v>
      </c>
      <c r="G1776" s="750"/>
      <c r="H1776" s="477">
        <v>45226</v>
      </c>
      <c r="I1776" s="473">
        <f t="shared" si="70"/>
        <v>3488810.8108108104</v>
      </c>
      <c r="J1776" s="473">
        <f t="shared" si="71"/>
        <v>383769.18918918917</v>
      </c>
      <c r="K1776" s="474">
        <f>2329020+1543560</f>
        <v>3872580</v>
      </c>
      <c r="L1776" s="475"/>
    </row>
    <row r="1777" spans="1:12" x14ac:dyDescent="0.2">
      <c r="A1777" s="305">
        <v>103</v>
      </c>
      <c r="B1777" s="485" t="s">
        <v>2101</v>
      </c>
      <c r="C1777" s="476" t="s">
        <v>6994</v>
      </c>
      <c r="D1777" s="464"/>
      <c r="E1777" s="465" t="s">
        <v>2939</v>
      </c>
      <c r="F1777" s="466" t="s">
        <v>2940</v>
      </c>
      <c r="G1777" s="750"/>
      <c r="H1777" s="477">
        <v>45208</v>
      </c>
      <c r="I1777" s="488">
        <f t="shared" si="70"/>
        <v>7372387.3873873865</v>
      </c>
      <c r="J1777" s="488">
        <f t="shared" si="71"/>
        <v>810962.61261261255</v>
      </c>
      <c r="K1777" s="474">
        <f>5398225+1745625+1039500</f>
        <v>8183350</v>
      </c>
      <c r="L1777" s="475"/>
    </row>
    <row r="1778" spans="1:12" x14ac:dyDescent="0.2">
      <c r="A1778" s="305">
        <v>104</v>
      </c>
      <c r="B1778" s="469" t="s">
        <v>2102</v>
      </c>
      <c r="C1778" s="476" t="s">
        <v>6951</v>
      </c>
      <c r="D1778" s="464"/>
      <c r="E1778" s="465" t="s">
        <v>4584</v>
      </c>
      <c r="F1778" s="466" t="s">
        <v>2808</v>
      </c>
      <c r="G1778" s="750"/>
      <c r="H1778" s="477">
        <v>45220</v>
      </c>
      <c r="I1778" s="473">
        <f t="shared" si="70"/>
        <v>970720.72072072059</v>
      </c>
      <c r="J1778" s="473">
        <f t="shared" si="71"/>
        <v>106779.27927927926</v>
      </c>
      <c r="K1778" s="474">
        <f>77500+1000000</f>
        <v>1077500</v>
      </c>
      <c r="L1778" s="475"/>
    </row>
    <row r="1779" spans="1:12" x14ac:dyDescent="0.2">
      <c r="A1779" s="305">
        <v>105</v>
      </c>
      <c r="B1779" s="485" t="s">
        <v>2103</v>
      </c>
      <c r="C1779" s="476" t="s">
        <v>6952</v>
      </c>
      <c r="D1779" s="464"/>
      <c r="E1779" s="465" t="s">
        <v>3087</v>
      </c>
      <c r="F1779" s="466" t="s">
        <v>2919</v>
      </c>
      <c r="G1779" s="750"/>
      <c r="H1779" s="477">
        <v>45219</v>
      </c>
      <c r="I1779" s="488">
        <f t="shared" si="70"/>
        <v>702486.48648648639</v>
      </c>
      <c r="J1779" s="488">
        <f t="shared" si="71"/>
        <v>77273.513513513506</v>
      </c>
      <c r="K1779" s="474">
        <v>779760</v>
      </c>
      <c r="L1779" s="475"/>
    </row>
    <row r="1780" spans="1:12" x14ac:dyDescent="0.2">
      <c r="A1780" s="305">
        <v>106</v>
      </c>
      <c r="B1780" s="469" t="s">
        <v>2104</v>
      </c>
      <c r="C1780" s="476" t="s">
        <v>6953</v>
      </c>
      <c r="D1780" s="464"/>
      <c r="E1780" s="465" t="s">
        <v>2918</v>
      </c>
      <c r="F1780" s="466" t="s">
        <v>2919</v>
      </c>
      <c r="G1780" s="750"/>
      <c r="H1780" s="477">
        <v>45220</v>
      </c>
      <c r="I1780" s="473">
        <f t="shared" si="70"/>
        <v>3981891.8918918916</v>
      </c>
      <c r="J1780" s="473">
        <f t="shared" si="71"/>
        <v>438008.10810810811</v>
      </c>
      <c r="K1780" s="474">
        <v>4419900</v>
      </c>
      <c r="L1780" s="475"/>
    </row>
    <row r="1781" spans="1:12" x14ac:dyDescent="0.2">
      <c r="A1781" s="305">
        <v>107</v>
      </c>
      <c r="B1781" s="485" t="s">
        <v>2105</v>
      </c>
      <c r="C1781" s="480" t="s">
        <v>6954</v>
      </c>
      <c r="D1781" s="481"/>
      <c r="E1781" s="482" t="s">
        <v>4331</v>
      </c>
      <c r="F1781" s="483" t="s">
        <v>4332</v>
      </c>
      <c r="G1781" s="750"/>
      <c r="H1781" s="484">
        <v>45220</v>
      </c>
      <c r="I1781" s="488">
        <f t="shared" si="70"/>
        <v>778378.37837837834</v>
      </c>
      <c r="J1781" s="488">
        <f t="shared" si="71"/>
        <v>85621.621621621613</v>
      </c>
      <c r="K1781" s="474">
        <v>864000</v>
      </c>
      <c r="L1781" s="475"/>
    </row>
    <row r="1782" spans="1:12" x14ac:dyDescent="0.2">
      <c r="A1782" s="305">
        <v>108</v>
      </c>
      <c r="B1782" s="469" t="s">
        <v>2106</v>
      </c>
      <c r="C1782" s="476" t="s">
        <v>6955</v>
      </c>
      <c r="D1782" s="464"/>
      <c r="E1782" s="471" t="s">
        <v>3553</v>
      </c>
      <c r="F1782" s="471" t="s">
        <v>2908</v>
      </c>
      <c r="G1782" s="750"/>
      <c r="H1782" s="477">
        <v>45222</v>
      </c>
      <c r="I1782" s="473">
        <f t="shared" si="70"/>
        <v>630648.64864864864</v>
      </c>
      <c r="J1782" s="473">
        <f t="shared" si="71"/>
        <v>69371.351351351346</v>
      </c>
      <c r="K1782" s="474">
        <v>700020</v>
      </c>
      <c r="L1782" s="475"/>
    </row>
    <row r="1783" spans="1:12" x14ac:dyDescent="0.2">
      <c r="A1783" s="305">
        <v>109</v>
      </c>
      <c r="B1783" s="485" t="s">
        <v>2107</v>
      </c>
      <c r="C1783" s="476" t="s">
        <v>7010</v>
      </c>
      <c r="D1783" s="464"/>
      <c r="E1783" s="465" t="s">
        <v>3003</v>
      </c>
      <c r="F1783" s="466" t="s">
        <v>3108</v>
      </c>
      <c r="G1783" s="750"/>
      <c r="H1783" s="477">
        <v>45227</v>
      </c>
      <c r="I1783" s="488">
        <f t="shared" si="70"/>
        <v>1810540.5405405404</v>
      </c>
      <c r="J1783" s="488">
        <f t="shared" si="71"/>
        <v>199159.45945945944</v>
      </c>
      <c r="K1783" s="474">
        <f>299250+1710450</f>
        <v>2009700</v>
      </c>
      <c r="L1783" s="475"/>
    </row>
    <row r="1784" spans="1:12" x14ac:dyDescent="0.2">
      <c r="A1784" s="305">
        <v>110</v>
      </c>
      <c r="B1784" s="469" t="s">
        <v>2108</v>
      </c>
      <c r="C1784" s="476" t="s">
        <v>6977</v>
      </c>
      <c r="D1784" s="464"/>
      <c r="E1784" s="465" t="s">
        <v>2881</v>
      </c>
      <c r="F1784" s="466" t="s">
        <v>2808</v>
      </c>
      <c r="G1784" s="750"/>
      <c r="H1784" s="477">
        <v>45223</v>
      </c>
      <c r="I1784" s="473">
        <f t="shared" si="70"/>
        <v>7290630.6306306301</v>
      </c>
      <c r="J1784" s="473">
        <f t="shared" si="71"/>
        <v>801969.36936936935</v>
      </c>
      <c r="K1784" s="474">
        <f>620000+842400+6630200</f>
        <v>8092600</v>
      </c>
      <c r="L1784" s="475"/>
    </row>
    <row r="1785" spans="1:12" x14ac:dyDescent="0.2">
      <c r="A1785" s="305">
        <v>111</v>
      </c>
      <c r="B1785" s="485" t="s">
        <v>2109</v>
      </c>
      <c r="C1785" s="476" t="s">
        <v>6957</v>
      </c>
      <c r="D1785" s="464"/>
      <c r="E1785" s="465" t="s">
        <v>3060</v>
      </c>
      <c r="F1785" s="466" t="s">
        <v>3061</v>
      </c>
      <c r="G1785" s="750"/>
      <c r="H1785" s="477">
        <v>45224</v>
      </c>
      <c r="I1785" s="488">
        <f t="shared" si="70"/>
        <v>3124774.7747747744</v>
      </c>
      <c r="J1785" s="488">
        <f t="shared" si="71"/>
        <v>343725.22522522521</v>
      </c>
      <c r="K1785" s="474">
        <v>3468500</v>
      </c>
      <c r="L1785" s="475"/>
    </row>
    <row r="1786" spans="1:12" x14ac:dyDescent="0.2">
      <c r="A1786" s="305">
        <v>112</v>
      </c>
      <c r="B1786" s="469" t="s">
        <v>2110</v>
      </c>
      <c r="C1786" s="476" t="s">
        <v>6958</v>
      </c>
      <c r="D1786" s="464"/>
      <c r="E1786" s="465" t="s">
        <v>2950</v>
      </c>
      <c r="F1786" s="466" t="s">
        <v>2951</v>
      </c>
      <c r="G1786" s="750"/>
      <c r="H1786" s="477">
        <v>45224</v>
      </c>
      <c r="I1786" s="473">
        <f t="shared" si="70"/>
        <v>347432.43243243243</v>
      </c>
      <c r="J1786" s="473">
        <f t="shared" si="71"/>
        <v>38217.567567567567</v>
      </c>
      <c r="K1786" s="474">
        <v>385650</v>
      </c>
      <c r="L1786" s="475"/>
    </row>
    <row r="1787" spans="1:12" x14ac:dyDescent="0.2">
      <c r="A1787" s="305">
        <v>113</v>
      </c>
      <c r="B1787" s="485" t="s">
        <v>2111</v>
      </c>
      <c r="C1787" s="476" t="s">
        <v>6959</v>
      </c>
      <c r="D1787" s="464"/>
      <c r="E1787" s="465" t="s">
        <v>6146</v>
      </c>
      <c r="F1787" s="466" t="s">
        <v>3959</v>
      </c>
      <c r="G1787" s="750"/>
      <c r="H1787" s="477">
        <v>45225</v>
      </c>
      <c r="I1787" s="488">
        <f t="shared" si="70"/>
        <v>356756.75675675675</v>
      </c>
      <c r="J1787" s="488">
        <f t="shared" si="71"/>
        <v>39243.24324324324</v>
      </c>
      <c r="K1787" s="474">
        <v>396000</v>
      </c>
      <c r="L1787" s="475"/>
    </row>
    <row r="1788" spans="1:12" x14ac:dyDescent="0.2">
      <c r="A1788" s="305">
        <v>114</v>
      </c>
      <c r="B1788" s="469" t="s">
        <v>2112</v>
      </c>
      <c r="C1788" s="476" t="s">
        <v>4944</v>
      </c>
      <c r="D1788" s="464"/>
      <c r="E1788" s="465" t="s">
        <v>5195</v>
      </c>
      <c r="F1788" s="466" t="s">
        <v>2785</v>
      </c>
      <c r="G1788" s="750"/>
      <c r="H1788" s="477">
        <v>45225</v>
      </c>
      <c r="I1788" s="473">
        <f t="shared" si="70"/>
        <v>135135.13513513512</v>
      </c>
      <c r="J1788" s="473">
        <f t="shared" si="71"/>
        <v>14864.864864864863</v>
      </c>
      <c r="K1788" s="474">
        <v>150000</v>
      </c>
      <c r="L1788" s="475"/>
    </row>
    <row r="1789" spans="1:12" x14ac:dyDescent="0.2">
      <c r="A1789" s="305">
        <v>115</v>
      </c>
      <c r="B1789" s="485" t="s">
        <v>2113</v>
      </c>
      <c r="C1789" s="476" t="s">
        <v>6960</v>
      </c>
      <c r="D1789" s="464"/>
      <c r="E1789" s="465" t="s">
        <v>2894</v>
      </c>
      <c r="F1789" s="466" t="s">
        <v>3061</v>
      </c>
      <c r="G1789" s="750"/>
      <c r="H1789" s="477">
        <v>45224</v>
      </c>
      <c r="I1789" s="488">
        <f t="shared" si="70"/>
        <v>2252252.2522522518</v>
      </c>
      <c r="J1789" s="488">
        <f t="shared" si="71"/>
        <v>247747.74774774769</v>
      </c>
      <c r="K1789" s="474">
        <v>2500000</v>
      </c>
      <c r="L1789" s="475"/>
    </row>
    <row r="1790" spans="1:12" x14ac:dyDescent="0.2">
      <c r="A1790" s="305">
        <v>116</v>
      </c>
      <c r="B1790" s="469" t="s">
        <v>2114</v>
      </c>
      <c r="C1790" s="476" t="s">
        <v>6961</v>
      </c>
      <c r="D1790" s="464"/>
      <c r="E1790" s="465" t="s">
        <v>3104</v>
      </c>
      <c r="F1790" s="466" t="s">
        <v>3061</v>
      </c>
      <c r="G1790" s="750"/>
      <c r="H1790" s="477">
        <v>45224</v>
      </c>
      <c r="I1790" s="473">
        <f t="shared" si="70"/>
        <v>1714108.1081081079</v>
      </c>
      <c r="J1790" s="473">
        <f t="shared" si="71"/>
        <v>188551.89189189186</v>
      </c>
      <c r="K1790" s="474">
        <v>1902660</v>
      </c>
      <c r="L1790" s="475"/>
    </row>
    <row r="1791" spans="1:12" x14ac:dyDescent="0.2">
      <c r="A1791" s="305">
        <v>117</v>
      </c>
      <c r="B1791" s="485" t="s">
        <v>2115</v>
      </c>
      <c r="C1791" s="476" t="s">
        <v>6964</v>
      </c>
      <c r="D1791" s="464"/>
      <c r="E1791" s="465" t="s">
        <v>2907</v>
      </c>
      <c r="F1791" s="466" t="s">
        <v>2792</v>
      </c>
      <c r="G1791" s="750"/>
      <c r="H1791" s="477">
        <v>45226</v>
      </c>
      <c r="I1791" s="488">
        <f t="shared" si="70"/>
        <v>463135.13513513509</v>
      </c>
      <c r="J1791" s="488">
        <f t="shared" si="71"/>
        <v>50944.86486486486</v>
      </c>
      <c r="K1791" s="474">
        <v>514080</v>
      </c>
      <c r="L1791" s="475"/>
    </row>
    <row r="1792" spans="1:12" x14ac:dyDescent="0.2">
      <c r="A1792" s="305">
        <v>118</v>
      </c>
      <c r="B1792" s="469" t="s">
        <v>2116</v>
      </c>
      <c r="C1792" s="480" t="s">
        <v>6978</v>
      </c>
      <c r="D1792" s="481"/>
      <c r="E1792" s="482" t="s">
        <v>4582</v>
      </c>
      <c r="F1792" s="483" t="s">
        <v>2792</v>
      </c>
      <c r="G1792" s="750"/>
      <c r="H1792" s="484">
        <v>45208</v>
      </c>
      <c r="I1792" s="473">
        <f t="shared" si="70"/>
        <v>42092702.702702701</v>
      </c>
      <c r="J1792" s="473">
        <f t="shared" si="71"/>
        <v>4630197.297297297</v>
      </c>
      <c r="K1792" s="474">
        <f>24570000+1627500+20525400</f>
        <v>46722900</v>
      </c>
      <c r="L1792" s="475"/>
    </row>
    <row r="1793" spans="1:12" x14ac:dyDescent="0.2">
      <c r="A1793" s="305">
        <v>119</v>
      </c>
      <c r="B1793" s="485" t="s">
        <v>2117</v>
      </c>
      <c r="C1793" s="476" t="s">
        <v>7021</v>
      </c>
      <c r="D1793" s="464"/>
      <c r="E1793" s="471" t="s">
        <v>2887</v>
      </c>
      <c r="F1793" s="471" t="s">
        <v>2888</v>
      </c>
      <c r="G1793" s="750"/>
      <c r="H1793" s="477">
        <v>45226</v>
      </c>
      <c r="I1793" s="488">
        <f t="shared" si="70"/>
        <v>2993918.9189189188</v>
      </c>
      <c r="J1793" s="488">
        <f t="shared" si="71"/>
        <v>329331.08108108107</v>
      </c>
      <c r="K1793" s="474">
        <f>1496250+1827000</f>
        <v>3323250</v>
      </c>
      <c r="L1793" s="475"/>
    </row>
    <row r="1794" spans="1:12" x14ac:dyDescent="0.2">
      <c r="A1794" s="305">
        <v>120</v>
      </c>
      <c r="B1794" s="469" t="s">
        <v>2118</v>
      </c>
      <c r="C1794" s="476" t="s">
        <v>6968</v>
      </c>
      <c r="D1794" s="464"/>
      <c r="E1794" s="465" t="s">
        <v>2936</v>
      </c>
      <c r="F1794" s="466" t="s">
        <v>2922</v>
      </c>
      <c r="G1794" s="750"/>
      <c r="H1794" s="477">
        <v>45208</v>
      </c>
      <c r="I1794" s="473">
        <f t="shared" si="70"/>
        <v>2386486.4864864862</v>
      </c>
      <c r="J1794" s="473">
        <f t="shared" si="71"/>
        <v>262513.51351351349</v>
      </c>
      <c r="K1794" s="474">
        <v>2649000</v>
      </c>
      <c r="L1794" s="475"/>
    </row>
    <row r="1795" spans="1:12" x14ac:dyDescent="0.2">
      <c r="A1795" s="305">
        <v>121</v>
      </c>
      <c r="B1795" s="485" t="s">
        <v>2119</v>
      </c>
      <c r="C1795" s="476" t="s">
        <v>6969</v>
      </c>
      <c r="D1795" s="464"/>
      <c r="E1795" s="465" t="s">
        <v>2945</v>
      </c>
      <c r="F1795" s="466" t="s">
        <v>2946</v>
      </c>
      <c r="G1795" s="750"/>
      <c r="H1795" s="477">
        <v>45208</v>
      </c>
      <c r="I1795" s="488">
        <f t="shared" si="70"/>
        <v>5451801.8018018017</v>
      </c>
      <c r="J1795" s="488">
        <f t="shared" si="71"/>
        <v>599698.19819819822</v>
      </c>
      <c r="K1795" s="474">
        <f>5342750+708750</f>
        <v>6051500</v>
      </c>
      <c r="L1795" s="475"/>
    </row>
    <row r="1796" spans="1:12" x14ac:dyDescent="0.2">
      <c r="A1796" s="305">
        <v>122</v>
      </c>
      <c r="B1796" s="469" t="s">
        <v>2120</v>
      </c>
      <c r="C1796" s="476" t="s">
        <v>6998</v>
      </c>
      <c r="D1796" s="464"/>
      <c r="E1796" s="465" t="s">
        <v>3030</v>
      </c>
      <c r="F1796" s="466" t="s">
        <v>2892</v>
      </c>
      <c r="G1796" s="750"/>
      <c r="H1796" s="477">
        <v>45216</v>
      </c>
      <c r="I1796" s="473">
        <f t="shared" si="70"/>
        <v>5769729.7297297288</v>
      </c>
      <c r="J1796" s="473">
        <f t="shared" si="71"/>
        <v>634670.27027027018</v>
      </c>
      <c r="K1796" s="474">
        <f>265680+5054400+1084320</f>
        <v>6404400</v>
      </c>
      <c r="L1796" s="475"/>
    </row>
    <row r="1797" spans="1:12" x14ac:dyDescent="0.2">
      <c r="A1797" s="305">
        <v>123</v>
      </c>
      <c r="B1797" s="485" t="s">
        <v>2121</v>
      </c>
      <c r="C1797" s="476" t="s">
        <v>6983</v>
      </c>
      <c r="D1797" s="464"/>
      <c r="E1797" s="465" t="s">
        <v>2900</v>
      </c>
      <c r="F1797" s="466" t="s">
        <v>2823</v>
      </c>
      <c r="G1797" s="750"/>
      <c r="H1797" s="477">
        <v>45208</v>
      </c>
      <c r="I1797" s="488">
        <f t="shared" si="70"/>
        <v>47666756.756756753</v>
      </c>
      <c r="J1797" s="488">
        <f t="shared" si="71"/>
        <v>5243343.2432432426</v>
      </c>
      <c r="K1797" s="474">
        <f>10272600+39903300+2734200</f>
        <v>52910100</v>
      </c>
      <c r="L1797" s="475"/>
    </row>
    <row r="1798" spans="1:12" x14ac:dyDescent="0.2">
      <c r="A1798" s="305">
        <v>124</v>
      </c>
      <c r="B1798" s="469" t="s">
        <v>2122</v>
      </c>
      <c r="C1798" s="476" t="s">
        <v>6972</v>
      </c>
      <c r="D1798" s="464"/>
      <c r="E1798" s="465" t="s">
        <v>3556</v>
      </c>
      <c r="F1798" s="466" t="s">
        <v>3061</v>
      </c>
      <c r="G1798" s="750"/>
      <c r="H1798" s="477">
        <v>45224</v>
      </c>
      <c r="I1798" s="473">
        <f t="shared" si="70"/>
        <v>2327027.0270270268</v>
      </c>
      <c r="J1798" s="473">
        <f t="shared" si="71"/>
        <v>255972.97297297293</v>
      </c>
      <c r="K1798" s="474">
        <v>2583000</v>
      </c>
      <c r="L1798" s="475"/>
    </row>
    <row r="1799" spans="1:12" x14ac:dyDescent="0.2">
      <c r="A1799" s="305">
        <v>125</v>
      </c>
      <c r="B1799" s="485" t="s">
        <v>2123</v>
      </c>
      <c r="C1799" s="476" t="s">
        <v>7008</v>
      </c>
      <c r="D1799" s="464"/>
      <c r="E1799" s="465" t="s">
        <v>2907</v>
      </c>
      <c r="F1799" s="466" t="s">
        <v>2908</v>
      </c>
      <c r="G1799" s="750"/>
      <c r="H1799" s="477">
        <v>45222</v>
      </c>
      <c r="I1799" s="488">
        <f t="shared" si="70"/>
        <v>11073243.243243242</v>
      </c>
      <c r="J1799" s="488">
        <f t="shared" si="71"/>
        <v>1218056.7567567567</v>
      </c>
      <c r="K1799" s="474">
        <f>834750+8222550+3234000</f>
        <v>12291300</v>
      </c>
      <c r="L1799" s="475"/>
    </row>
    <row r="1800" spans="1:12" x14ac:dyDescent="0.2">
      <c r="A1800" s="305">
        <v>126</v>
      </c>
      <c r="B1800" s="469" t="s">
        <v>2124</v>
      </c>
      <c r="C1800" s="476" t="s">
        <v>6979</v>
      </c>
      <c r="D1800" s="464"/>
      <c r="E1800" s="465" t="s">
        <v>3129</v>
      </c>
      <c r="F1800" s="466" t="s">
        <v>3108</v>
      </c>
      <c r="G1800" s="750"/>
      <c r="H1800" s="477">
        <v>45229</v>
      </c>
      <c r="I1800" s="473">
        <f t="shared" si="70"/>
        <v>2349729.7297297297</v>
      </c>
      <c r="J1800" s="473">
        <f t="shared" si="71"/>
        <v>258470.27027027027</v>
      </c>
      <c r="K1800" s="474">
        <v>2608200</v>
      </c>
      <c r="L1800" s="475"/>
    </row>
    <row r="1801" spans="1:12" x14ac:dyDescent="0.2">
      <c r="A1801" s="305">
        <v>127</v>
      </c>
      <c r="B1801" s="485" t="s">
        <v>2125</v>
      </c>
      <c r="C1801" s="476" t="s">
        <v>7005</v>
      </c>
      <c r="D1801" s="464"/>
      <c r="E1801" s="465" t="s">
        <v>2885</v>
      </c>
      <c r="F1801" s="466" t="s">
        <v>2886</v>
      </c>
      <c r="G1801" s="750"/>
      <c r="H1801" s="477">
        <v>45229</v>
      </c>
      <c r="I1801" s="488">
        <f t="shared" si="70"/>
        <v>10297542.342342341</v>
      </c>
      <c r="J1801" s="488">
        <f t="shared" si="71"/>
        <v>1132729.6576576575</v>
      </c>
      <c r="K1801" s="474">
        <f>4091720+7338552</f>
        <v>11430272</v>
      </c>
      <c r="L1801" s="475"/>
    </row>
    <row r="1802" spans="1:12" x14ac:dyDescent="0.2">
      <c r="A1802" s="305">
        <v>128</v>
      </c>
      <c r="B1802" s="469" t="s">
        <v>2126</v>
      </c>
      <c r="C1802" s="476" t="s">
        <v>6981</v>
      </c>
      <c r="D1802" s="464"/>
      <c r="E1802" s="465" t="s">
        <v>4582</v>
      </c>
      <c r="F1802" s="466" t="s">
        <v>2792</v>
      </c>
      <c r="G1802" s="750"/>
      <c r="H1802" s="477">
        <v>45230</v>
      </c>
      <c r="I1802" s="473">
        <f t="shared" si="70"/>
        <v>4654054.0540540535</v>
      </c>
      <c r="J1802" s="473">
        <f t="shared" si="71"/>
        <v>511945.94594594586</v>
      </c>
      <c r="K1802" s="474">
        <v>5166000</v>
      </c>
      <c r="L1802" s="475"/>
    </row>
    <row r="1803" spans="1:12" x14ac:dyDescent="0.2">
      <c r="A1803" s="305">
        <v>129</v>
      </c>
      <c r="B1803" s="485" t="s">
        <v>2127</v>
      </c>
      <c r="C1803" s="480" t="s">
        <v>7020</v>
      </c>
      <c r="D1803" s="481"/>
      <c r="E1803" s="482" t="s">
        <v>6982</v>
      </c>
      <c r="F1803" s="483" t="s">
        <v>2935</v>
      </c>
      <c r="G1803" s="750"/>
      <c r="H1803" s="484">
        <v>45230</v>
      </c>
      <c r="I1803" s="488">
        <f t="shared" si="70"/>
        <v>15754279.279279279</v>
      </c>
      <c r="J1803" s="488">
        <f t="shared" si="71"/>
        <v>1732970.7207207207</v>
      </c>
      <c r="K1803" s="474">
        <f>2608200+14879050</f>
        <v>17487250</v>
      </c>
      <c r="L1803" s="475"/>
    </row>
    <row r="1804" spans="1:12" x14ac:dyDescent="0.2">
      <c r="A1804" s="305">
        <v>130</v>
      </c>
      <c r="B1804" s="469" t="s">
        <v>2128</v>
      </c>
      <c r="C1804" s="476" t="s">
        <v>6990</v>
      </c>
      <c r="D1804" s="464"/>
      <c r="E1804" s="471" t="s">
        <v>3011</v>
      </c>
      <c r="F1804" s="471" t="s">
        <v>2823</v>
      </c>
      <c r="G1804" s="750"/>
      <c r="H1804" s="477">
        <v>45217</v>
      </c>
      <c r="I1804" s="473">
        <f t="shared" si="70"/>
        <v>26459414.414414413</v>
      </c>
      <c r="J1804" s="473">
        <f t="shared" si="71"/>
        <v>2910535.5855855853</v>
      </c>
      <c r="K1804" s="474">
        <f>10137625+17644725+1587600</f>
        <v>29369950</v>
      </c>
      <c r="L1804" s="475"/>
    </row>
    <row r="1805" spans="1:12" x14ac:dyDescent="0.2">
      <c r="A1805" s="305">
        <v>131</v>
      </c>
      <c r="B1805" s="485" t="s">
        <v>2129</v>
      </c>
      <c r="C1805" s="476" t="s">
        <v>6984</v>
      </c>
      <c r="D1805" s="464"/>
      <c r="E1805" s="465" t="s">
        <v>2937</v>
      </c>
      <c r="F1805" s="466" t="s">
        <v>2823</v>
      </c>
      <c r="G1805" s="750"/>
      <c r="H1805" s="477">
        <v>45216</v>
      </c>
      <c r="I1805" s="488">
        <f t="shared" ref="I1805:I1834" si="72">K1805/1.11</f>
        <v>25150990.990990989</v>
      </c>
      <c r="J1805" s="488">
        <f t="shared" ref="J1805:J1834" si="73">I1805*11%</f>
        <v>2766609.0090090088</v>
      </c>
      <c r="K1805" s="474">
        <f>12782200+9257500+5877900</f>
        <v>27917600</v>
      </c>
      <c r="L1805" s="475"/>
    </row>
    <row r="1806" spans="1:12" x14ac:dyDescent="0.2">
      <c r="A1806" s="305">
        <v>132</v>
      </c>
      <c r="B1806" s="469" t="s">
        <v>2130</v>
      </c>
      <c r="C1806" s="476" t="s">
        <v>6985</v>
      </c>
      <c r="D1806" s="464"/>
      <c r="E1806" s="465" t="s">
        <v>2947</v>
      </c>
      <c r="F1806" s="466" t="s">
        <v>2823</v>
      </c>
      <c r="G1806" s="750"/>
      <c r="H1806" s="477">
        <v>45216</v>
      </c>
      <c r="I1806" s="473">
        <f t="shared" si="72"/>
        <v>10636373.873873873</v>
      </c>
      <c r="J1806" s="473">
        <f t="shared" si="73"/>
        <v>1170001.1261261259</v>
      </c>
      <c r="K1806" s="474">
        <f>5859000+5947375</f>
        <v>11806375</v>
      </c>
      <c r="L1806" s="475"/>
    </row>
    <row r="1807" spans="1:12" x14ac:dyDescent="0.2">
      <c r="A1807" s="305">
        <v>133</v>
      </c>
      <c r="B1807" s="485" t="s">
        <v>2131</v>
      </c>
      <c r="C1807" s="476" t="s">
        <v>6991</v>
      </c>
      <c r="D1807" s="464"/>
      <c r="E1807" s="465" t="s">
        <v>2904</v>
      </c>
      <c r="F1807" s="466" t="s">
        <v>2905</v>
      </c>
      <c r="G1807" s="750"/>
      <c r="H1807" s="477">
        <v>45205</v>
      </c>
      <c r="I1807" s="488">
        <f t="shared" si="72"/>
        <v>2990990.9909909908</v>
      </c>
      <c r="J1807" s="488">
        <f t="shared" si="73"/>
        <v>329009.00900900899</v>
      </c>
      <c r="K1807" s="474">
        <f>2900000+210000+210000</f>
        <v>3320000</v>
      </c>
      <c r="L1807" s="475"/>
    </row>
    <row r="1808" spans="1:12" x14ac:dyDescent="0.2">
      <c r="A1808" s="305">
        <v>134</v>
      </c>
      <c r="B1808" s="469" t="s">
        <v>2132</v>
      </c>
      <c r="C1808" s="476" t="s">
        <v>6987</v>
      </c>
      <c r="D1808" s="464"/>
      <c r="E1808" s="465" t="s">
        <v>2898</v>
      </c>
      <c r="F1808" s="466" t="s">
        <v>2823</v>
      </c>
      <c r="G1808" s="750"/>
      <c r="H1808" s="477">
        <v>45210</v>
      </c>
      <c r="I1808" s="473">
        <f t="shared" si="72"/>
        <v>24299774.774774771</v>
      </c>
      <c r="J1808" s="473">
        <f t="shared" si="73"/>
        <v>2672975.2252252246</v>
      </c>
      <c r="K1808" s="474">
        <f>9397500+1612800+15962450</f>
        <v>26972750</v>
      </c>
      <c r="L1808" s="475"/>
    </row>
    <row r="1809" spans="1:12" x14ac:dyDescent="0.2">
      <c r="A1809" s="305">
        <v>135</v>
      </c>
      <c r="B1809" s="485" t="s">
        <v>2133</v>
      </c>
      <c r="C1809" s="476" t="s">
        <v>6988</v>
      </c>
      <c r="D1809" s="464"/>
      <c r="E1809" s="465" t="s">
        <v>2958</v>
      </c>
      <c r="F1809" s="466" t="s">
        <v>2823</v>
      </c>
      <c r="G1809" s="750"/>
      <c r="H1809" s="477">
        <v>45216</v>
      </c>
      <c r="I1809" s="488">
        <f t="shared" si="72"/>
        <v>12269999.999999998</v>
      </c>
      <c r="J1809" s="488">
        <f t="shared" si="73"/>
        <v>1349699.9999999998</v>
      </c>
      <c r="K1809" s="474">
        <f>4050000+9569700</f>
        <v>13619700</v>
      </c>
      <c r="L1809" s="475"/>
    </row>
    <row r="1810" spans="1:12" x14ac:dyDescent="0.2">
      <c r="A1810" s="305">
        <v>136</v>
      </c>
      <c r="B1810" s="469" t="s">
        <v>2134</v>
      </c>
      <c r="C1810" s="476" t="s">
        <v>6989</v>
      </c>
      <c r="D1810" s="464"/>
      <c r="E1810" s="465" t="s">
        <v>2933</v>
      </c>
      <c r="F1810" s="466" t="s">
        <v>2823</v>
      </c>
      <c r="G1810" s="750"/>
      <c r="H1810" s="477">
        <v>45217</v>
      </c>
      <c r="I1810" s="473">
        <f t="shared" si="72"/>
        <v>34655927.927927926</v>
      </c>
      <c r="J1810" s="473">
        <f t="shared" si="73"/>
        <v>3812152.072072072</v>
      </c>
      <c r="K1810" s="474">
        <f>23491720+14976360</f>
        <v>38468080</v>
      </c>
      <c r="L1810" s="475"/>
    </row>
    <row r="1811" spans="1:12" x14ac:dyDescent="0.2">
      <c r="A1811" s="305">
        <v>137</v>
      </c>
      <c r="B1811" s="485" t="s">
        <v>2135</v>
      </c>
      <c r="C1811" s="476" t="s">
        <v>6986</v>
      </c>
      <c r="D1811" s="464"/>
      <c r="E1811" s="465" t="s">
        <v>2900</v>
      </c>
      <c r="F1811" s="466" t="s">
        <v>2823</v>
      </c>
      <c r="G1811" s="750"/>
      <c r="H1811" s="477">
        <v>45217</v>
      </c>
      <c r="I1811" s="488">
        <f t="shared" si="72"/>
        <v>15430810.81081081</v>
      </c>
      <c r="J1811" s="488">
        <f t="shared" si="73"/>
        <v>1697389.1891891891</v>
      </c>
      <c r="K1811" s="474">
        <v>17128200</v>
      </c>
      <c r="L1811" s="475"/>
    </row>
    <row r="1812" spans="1:12" x14ac:dyDescent="0.2">
      <c r="A1812" s="305">
        <v>138</v>
      </c>
      <c r="B1812" s="469" t="s">
        <v>2136</v>
      </c>
      <c r="C1812" s="476" t="s">
        <v>7012</v>
      </c>
      <c r="D1812" s="464"/>
      <c r="E1812" s="465" t="s">
        <v>2904</v>
      </c>
      <c r="F1812" s="466" t="s">
        <v>6168</v>
      </c>
      <c r="G1812" s="750"/>
      <c r="H1812" s="477">
        <v>45215</v>
      </c>
      <c r="I1812" s="473">
        <f t="shared" si="72"/>
        <v>11768918.918918917</v>
      </c>
      <c r="J1812" s="473">
        <f t="shared" si="73"/>
        <v>1294581.0810810809</v>
      </c>
      <c r="K1812" s="474">
        <f>300000+3403500+9360000</f>
        <v>13063500</v>
      </c>
      <c r="L1812" s="475"/>
    </row>
    <row r="1813" spans="1:12" x14ac:dyDescent="0.2">
      <c r="A1813" s="305">
        <v>139</v>
      </c>
      <c r="B1813" s="485" t="s">
        <v>2137</v>
      </c>
      <c r="C1813" s="476" t="s">
        <v>7013</v>
      </c>
      <c r="D1813" s="464"/>
      <c r="E1813" s="465" t="s">
        <v>2937</v>
      </c>
      <c r="F1813" s="466" t="s">
        <v>2823</v>
      </c>
      <c r="G1813" s="750"/>
      <c r="H1813" s="477">
        <v>45218</v>
      </c>
      <c r="I1813" s="488">
        <f t="shared" si="72"/>
        <v>29587927.927927926</v>
      </c>
      <c r="J1813" s="488">
        <f t="shared" si="73"/>
        <v>3254672.072072072</v>
      </c>
      <c r="K1813" s="474">
        <f>25786600+7056000</f>
        <v>32842600</v>
      </c>
      <c r="L1813" s="475"/>
    </row>
    <row r="1814" spans="1:12" x14ac:dyDescent="0.2">
      <c r="A1814" s="305">
        <v>140</v>
      </c>
      <c r="B1814" s="469" t="s">
        <v>2138</v>
      </c>
      <c r="C1814" s="480" t="s">
        <v>6996</v>
      </c>
      <c r="D1814" s="481"/>
      <c r="E1814" s="482" t="s">
        <v>2883</v>
      </c>
      <c r="F1814" s="483" t="s">
        <v>2884</v>
      </c>
      <c r="G1814" s="750"/>
      <c r="H1814" s="484">
        <v>45217</v>
      </c>
      <c r="I1814" s="473">
        <f t="shared" si="72"/>
        <v>5097891.8918918911</v>
      </c>
      <c r="J1814" s="473">
        <f t="shared" si="73"/>
        <v>560768.10810810805</v>
      </c>
      <c r="K1814" s="474">
        <f>2140020+3518640</f>
        <v>5658660</v>
      </c>
      <c r="L1814" s="475"/>
    </row>
    <row r="1815" spans="1:12" x14ac:dyDescent="0.2">
      <c r="A1815" s="305">
        <v>141</v>
      </c>
      <c r="B1815" s="485" t="s">
        <v>2139</v>
      </c>
      <c r="C1815" s="476" t="s">
        <v>6999</v>
      </c>
      <c r="D1815" s="464"/>
      <c r="E1815" s="465" t="s">
        <v>2948</v>
      </c>
      <c r="F1815" s="466" t="s">
        <v>2892</v>
      </c>
      <c r="G1815" s="750"/>
      <c r="H1815" s="477">
        <v>45218</v>
      </c>
      <c r="I1815" s="488">
        <f t="shared" si="72"/>
        <v>3668108.1081081079</v>
      </c>
      <c r="J1815" s="488">
        <f t="shared" si="73"/>
        <v>403491.89189189189</v>
      </c>
      <c r="K1815" s="474">
        <f>1566000+2505600</f>
        <v>4071600</v>
      </c>
      <c r="L1815" s="475"/>
    </row>
    <row r="1816" spans="1:12" x14ac:dyDescent="0.2">
      <c r="A1816" s="305">
        <v>142</v>
      </c>
      <c r="B1816" s="469" t="s">
        <v>2140</v>
      </c>
      <c r="C1816" s="476" t="s">
        <v>6997</v>
      </c>
      <c r="D1816" s="464"/>
      <c r="E1816" s="465" t="s">
        <v>2906</v>
      </c>
      <c r="F1816" s="466" t="s">
        <v>2892</v>
      </c>
      <c r="G1816" s="750"/>
      <c r="H1816" s="477">
        <v>45219</v>
      </c>
      <c r="I1816" s="473">
        <f t="shared" si="72"/>
        <v>6085297.297297297</v>
      </c>
      <c r="J1816" s="473">
        <f t="shared" si="73"/>
        <v>669382.70270270272</v>
      </c>
      <c r="K1816" s="474">
        <v>6754680</v>
      </c>
      <c r="L1816" s="475"/>
    </row>
    <row r="1817" spans="1:12" x14ac:dyDescent="0.2">
      <c r="A1817" s="305">
        <v>143</v>
      </c>
      <c r="B1817" s="485" t="s">
        <v>2141</v>
      </c>
      <c r="C1817" s="476" t="s">
        <v>7016</v>
      </c>
      <c r="D1817" s="464"/>
      <c r="E1817" s="465" t="s">
        <v>7000</v>
      </c>
      <c r="F1817" s="466" t="s">
        <v>7001</v>
      </c>
      <c r="G1817" s="750"/>
      <c r="H1817" s="477">
        <v>45220</v>
      </c>
      <c r="I1817" s="488">
        <f t="shared" si="72"/>
        <v>3420540.5405405401</v>
      </c>
      <c r="J1817" s="488">
        <f t="shared" si="73"/>
        <v>376259.45945945941</v>
      </c>
      <c r="K1817" s="474">
        <f>541800+3255000</f>
        <v>3796800</v>
      </c>
      <c r="L1817" s="475"/>
    </row>
    <row r="1818" spans="1:12" x14ac:dyDescent="0.2">
      <c r="A1818" s="305">
        <v>144</v>
      </c>
      <c r="B1818" s="469" t="s">
        <v>2142</v>
      </c>
      <c r="C1818" s="476" t="s">
        <v>7002</v>
      </c>
      <c r="D1818" s="464"/>
      <c r="E1818" s="465" t="s">
        <v>3106</v>
      </c>
      <c r="F1818" s="466" t="s">
        <v>2946</v>
      </c>
      <c r="G1818" s="750"/>
      <c r="H1818" s="477">
        <v>45225</v>
      </c>
      <c r="I1818" s="473">
        <f t="shared" si="72"/>
        <v>2348648.6486486485</v>
      </c>
      <c r="J1818" s="473">
        <f t="shared" si="73"/>
        <v>258351.35135135133</v>
      </c>
      <c r="K1818" s="474">
        <f>1626500+980500</f>
        <v>2607000</v>
      </c>
      <c r="L1818" s="475"/>
    </row>
    <row r="1819" spans="1:12" x14ac:dyDescent="0.2">
      <c r="A1819" s="305">
        <v>145</v>
      </c>
      <c r="B1819" s="485" t="s">
        <v>2143</v>
      </c>
      <c r="C1819" s="480" t="s">
        <v>7003</v>
      </c>
      <c r="D1819" s="481"/>
      <c r="E1819" s="482" t="s">
        <v>3471</v>
      </c>
      <c r="F1819" s="483" t="s">
        <v>2873</v>
      </c>
      <c r="G1819" s="750"/>
      <c r="H1819" s="484">
        <v>45226</v>
      </c>
      <c r="I1819" s="488">
        <f t="shared" si="72"/>
        <v>3934414.4144144142</v>
      </c>
      <c r="J1819" s="488">
        <f t="shared" si="73"/>
        <v>432785.58558558556</v>
      </c>
      <c r="K1819" s="474">
        <v>4367200</v>
      </c>
      <c r="L1819" s="475"/>
    </row>
    <row r="1820" spans="1:12" x14ac:dyDescent="0.2">
      <c r="A1820" s="305">
        <v>146</v>
      </c>
      <c r="B1820" s="469" t="s">
        <v>2144</v>
      </c>
      <c r="C1820" s="476" t="s">
        <v>7006</v>
      </c>
      <c r="D1820" s="464"/>
      <c r="E1820" s="465" t="s">
        <v>2921</v>
      </c>
      <c r="F1820" s="466" t="s">
        <v>2922</v>
      </c>
      <c r="G1820" s="750"/>
      <c r="H1820" s="477">
        <v>45229</v>
      </c>
      <c r="I1820" s="473">
        <f t="shared" si="72"/>
        <v>291891.89189189189</v>
      </c>
      <c r="J1820" s="473">
        <f t="shared" si="73"/>
        <v>32108.10810810811</v>
      </c>
      <c r="K1820" s="474">
        <v>324000</v>
      </c>
      <c r="L1820" s="475"/>
    </row>
    <row r="1821" spans="1:12" x14ac:dyDescent="0.2">
      <c r="A1821" s="305">
        <v>147</v>
      </c>
      <c r="B1821" s="485" t="s">
        <v>2145</v>
      </c>
      <c r="C1821" s="476" t="s">
        <v>4969</v>
      </c>
      <c r="D1821" s="464"/>
      <c r="E1821" s="465" t="s">
        <v>2894</v>
      </c>
      <c r="F1821" s="466" t="s">
        <v>2851</v>
      </c>
      <c r="G1821" s="750"/>
      <c r="H1821" s="477">
        <v>45230</v>
      </c>
      <c r="I1821" s="488">
        <f t="shared" si="72"/>
        <v>1514529.7297297297</v>
      </c>
      <c r="J1821" s="488">
        <f t="shared" si="73"/>
        <v>166598.27027027027</v>
      </c>
      <c r="K1821" s="474">
        <v>1681128</v>
      </c>
      <c r="L1821" s="475"/>
    </row>
    <row r="1822" spans="1:12" x14ac:dyDescent="0.2">
      <c r="A1822" s="305">
        <v>148</v>
      </c>
      <c r="B1822" s="469" t="s">
        <v>2146</v>
      </c>
      <c r="C1822" s="476" t="s">
        <v>7009</v>
      </c>
      <c r="D1822" s="464"/>
      <c r="E1822" s="465" t="s">
        <v>3541</v>
      </c>
      <c r="F1822" s="466" t="s">
        <v>2982</v>
      </c>
      <c r="G1822" s="750"/>
      <c r="H1822" s="477">
        <v>45230</v>
      </c>
      <c r="I1822" s="473">
        <f t="shared" si="72"/>
        <v>1433189.1891891891</v>
      </c>
      <c r="J1822" s="473">
        <f t="shared" si="73"/>
        <v>157650.8108108108</v>
      </c>
      <c r="K1822" s="474">
        <f>1080000+510840</f>
        <v>1590840</v>
      </c>
      <c r="L1822" s="475"/>
    </row>
    <row r="1823" spans="1:12" x14ac:dyDescent="0.2">
      <c r="A1823" s="305">
        <v>149</v>
      </c>
      <c r="B1823" s="485" t="s">
        <v>2147</v>
      </c>
      <c r="C1823" s="476" t="s">
        <v>7011</v>
      </c>
      <c r="D1823" s="464"/>
      <c r="E1823" s="465" t="s">
        <v>3605</v>
      </c>
      <c r="F1823" s="466" t="s">
        <v>2915</v>
      </c>
      <c r="G1823" s="750"/>
      <c r="H1823" s="477">
        <v>45209</v>
      </c>
      <c r="I1823" s="488">
        <f t="shared" si="72"/>
        <v>43761936.036036029</v>
      </c>
      <c r="J1823" s="488">
        <f t="shared" si="73"/>
        <v>4813812.9639639631</v>
      </c>
      <c r="K1823" s="474">
        <f>(36546875-4746276)+16775150</f>
        <v>48575749</v>
      </c>
      <c r="L1823" s="475"/>
    </row>
    <row r="1824" spans="1:12" x14ac:dyDescent="0.2">
      <c r="A1824" s="305">
        <v>150</v>
      </c>
      <c r="B1824" s="469" t="s">
        <v>2148</v>
      </c>
      <c r="C1824" s="476" t="s">
        <v>7040</v>
      </c>
      <c r="D1824" s="464"/>
      <c r="E1824" s="465" t="s">
        <v>3605</v>
      </c>
      <c r="F1824" s="466" t="s">
        <v>2915</v>
      </c>
      <c r="G1824" s="750"/>
      <c r="H1824" s="477">
        <v>45229</v>
      </c>
      <c r="I1824" s="473">
        <f t="shared" si="72"/>
        <v>32767567.567567565</v>
      </c>
      <c r="J1824" s="473">
        <f t="shared" si="73"/>
        <v>3604432.4324324322</v>
      </c>
      <c r="K1824" s="474">
        <f>36372000</f>
        <v>36372000</v>
      </c>
      <c r="L1824" s="475"/>
    </row>
    <row r="1825" spans="1:12" x14ac:dyDescent="0.2">
      <c r="A1825" s="305">
        <v>151</v>
      </c>
      <c r="B1825" s="485" t="s">
        <v>2149</v>
      </c>
      <c r="C1825" s="476" t="s">
        <v>7014</v>
      </c>
      <c r="D1825" s="464"/>
      <c r="E1825" s="465" t="s">
        <v>3112</v>
      </c>
      <c r="F1825" s="466" t="s">
        <v>2955</v>
      </c>
      <c r="G1825" s="750"/>
      <c r="H1825" s="477">
        <v>45227</v>
      </c>
      <c r="I1825" s="488">
        <f t="shared" si="72"/>
        <v>4156306.3063063058</v>
      </c>
      <c r="J1825" s="488">
        <f t="shared" si="73"/>
        <v>457193.69369369367</v>
      </c>
      <c r="K1825" s="474">
        <v>4613500</v>
      </c>
      <c r="L1825" s="475"/>
    </row>
    <row r="1826" spans="1:12" x14ac:dyDescent="0.2">
      <c r="A1826" s="305">
        <v>152</v>
      </c>
      <c r="B1826" s="469" t="s">
        <v>2150</v>
      </c>
      <c r="C1826" s="476" t="s">
        <v>5333</v>
      </c>
      <c r="D1826" s="464"/>
      <c r="E1826" s="465" t="s">
        <v>2954</v>
      </c>
      <c r="F1826" s="466" t="s">
        <v>2955</v>
      </c>
      <c r="G1826" s="750"/>
      <c r="H1826" s="477">
        <v>45227</v>
      </c>
      <c r="I1826" s="473">
        <f t="shared" si="72"/>
        <v>1253378.3783783782</v>
      </c>
      <c r="J1826" s="473">
        <f t="shared" si="73"/>
        <v>137871.6216216216</v>
      </c>
      <c r="K1826" s="474">
        <v>1391250</v>
      </c>
      <c r="L1826" s="475"/>
    </row>
    <row r="1827" spans="1:12" x14ac:dyDescent="0.2">
      <c r="A1827" s="305">
        <v>153</v>
      </c>
      <c r="B1827" s="485" t="s">
        <v>2151</v>
      </c>
      <c r="C1827" s="480" t="s">
        <v>7019</v>
      </c>
      <c r="D1827" s="481"/>
      <c r="E1827" s="482" t="s">
        <v>3101</v>
      </c>
      <c r="F1827" s="483" t="s">
        <v>3077</v>
      </c>
      <c r="G1827" s="750"/>
      <c r="H1827" s="484">
        <v>45229</v>
      </c>
      <c r="I1827" s="488">
        <f t="shared" si="72"/>
        <v>7192567.5675675673</v>
      </c>
      <c r="J1827" s="488">
        <f t="shared" si="73"/>
        <v>791182.43243243243</v>
      </c>
      <c r="K1827" s="474">
        <v>7983750</v>
      </c>
      <c r="L1827" s="475"/>
    </row>
    <row r="1828" spans="1:12" x14ac:dyDescent="0.2">
      <c r="A1828" s="305">
        <v>154</v>
      </c>
      <c r="B1828" s="469" t="s">
        <v>2152</v>
      </c>
      <c r="C1828" s="476" t="s">
        <v>5338</v>
      </c>
      <c r="D1828" s="464"/>
      <c r="E1828" s="465" t="s">
        <v>5606</v>
      </c>
      <c r="F1828" s="466" t="s">
        <v>3092</v>
      </c>
      <c r="G1828" s="750"/>
      <c r="H1828" s="477">
        <v>45230</v>
      </c>
      <c r="I1828" s="473">
        <f t="shared" si="72"/>
        <v>557513.51351351349</v>
      </c>
      <c r="J1828" s="473">
        <f t="shared" si="73"/>
        <v>61326.486486486487</v>
      </c>
      <c r="K1828" s="474">
        <v>618840</v>
      </c>
      <c r="L1828" s="475"/>
    </row>
    <row r="1829" spans="1:12" x14ac:dyDescent="0.2">
      <c r="A1829" s="305">
        <v>155</v>
      </c>
      <c r="B1829" s="485" t="s">
        <v>2153</v>
      </c>
      <c r="C1829" s="810" t="s">
        <v>7036</v>
      </c>
      <c r="D1829" s="750"/>
      <c r="E1829" s="811" t="s">
        <v>6077</v>
      </c>
      <c r="F1829" s="812" t="s">
        <v>2922</v>
      </c>
      <c r="G1829" s="750"/>
      <c r="H1829" s="472">
        <v>45203</v>
      </c>
      <c r="I1829" s="488">
        <f t="shared" si="72"/>
        <v>1322972.9729729728</v>
      </c>
      <c r="J1829" s="488">
        <f t="shared" si="73"/>
        <v>145527.02702702701</v>
      </c>
      <c r="K1829" s="474">
        <f>468500+1000000</f>
        <v>1468500</v>
      </c>
      <c r="L1829" s="475"/>
    </row>
    <row r="1830" spans="1:12" x14ac:dyDescent="0.2">
      <c r="A1830" s="305">
        <v>156</v>
      </c>
      <c r="B1830" s="469" t="s">
        <v>2154</v>
      </c>
      <c r="C1830" s="476" t="s">
        <v>7022</v>
      </c>
      <c r="D1830" s="464"/>
      <c r="E1830" s="465" t="s">
        <v>3612</v>
      </c>
      <c r="F1830" s="466" t="s">
        <v>3609</v>
      </c>
      <c r="G1830" s="750"/>
      <c r="H1830" s="477">
        <v>45206</v>
      </c>
      <c r="I1830" s="473">
        <f t="shared" si="72"/>
        <v>6727781.9819819815</v>
      </c>
      <c r="J1830" s="473">
        <f t="shared" si="73"/>
        <v>740056.01801801799</v>
      </c>
      <c r="K1830" s="474">
        <v>7467838</v>
      </c>
      <c r="L1830" s="475"/>
    </row>
    <row r="1831" spans="1:12" x14ac:dyDescent="0.2">
      <c r="A1831" s="305">
        <v>157</v>
      </c>
      <c r="B1831" s="485" t="s">
        <v>2155</v>
      </c>
      <c r="C1831" s="476" t="s">
        <v>7023</v>
      </c>
      <c r="D1831" s="464"/>
      <c r="E1831" s="465" t="s">
        <v>3612</v>
      </c>
      <c r="F1831" s="466" t="s">
        <v>3609</v>
      </c>
      <c r="G1831" s="750"/>
      <c r="H1831" s="477">
        <v>45213</v>
      </c>
      <c r="I1831" s="488">
        <f t="shared" si="72"/>
        <v>8306054.0540540535</v>
      </c>
      <c r="J1831" s="488">
        <f t="shared" si="73"/>
        <v>913665.94594594592</v>
      </c>
      <c r="K1831" s="474">
        <f>9537240-317520</f>
        <v>9219720</v>
      </c>
      <c r="L1831" s="475"/>
    </row>
    <row r="1832" spans="1:12" x14ac:dyDescent="0.2">
      <c r="A1832" s="305">
        <v>158</v>
      </c>
      <c r="B1832" s="469" t="s">
        <v>2156</v>
      </c>
      <c r="C1832" s="476" t="s">
        <v>7024</v>
      </c>
      <c r="D1832" s="464"/>
      <c r="E1832" s="465" t="s">
        <v>3612</v>
      </c>
      <c r="F1832" s="466" t="s">
        <v>3609</v>
      </c>
      <c r="G1832" s="750"/>
      <c r="H1832" s="477">
        <v>45220</v>
      </c>
      <c r="I1832" s="473">
        <f t="shared" si="72"/>
        <v>5183144.1441441439</v>
      </c>
      <c r="J1832" s="473">
        <f t="shared" si="73"/>
        <v>570145.85585585586</v>
      </c>
      <c r="K1832" s="474">
        <v>5753290</v>
      </c>
      <c r="L1832" s="475"/>
    </row>
    <row r="1833" spans="1:12" x14ac:dyDescent="0.2">
      <c r="A1833" s="305">
        <v>159</v>
      </c>
      <c r="B1833" s="485" t="s">
        <v>2157</v>
      </c>
      <c r="C1833" s="476" t="s">
        <v>7025</v>
      </c>
      <c r="D1833" s="481"/>
      <c r="E1833" s="465" t="s">
        <v>3612</v>
      </c>
      <c r="F1833" s="466" t="s">
        <v>3609</v>
      </c>
      <c r="G1833" s="750"/>
      <c r="H1833" s="484">
        <v>45227</v>
      </c>
      <c r="I1833" s="488">
        <f t="shared" si="72"/>
        <v>7696297.297297297</v>
      </c>
      <c r="J1833" s="488">
        <f t="shared" si="73"/>
        <v>846592.70270270272</v>
      </c>
      <c r="K1833" s="474">
        <v>8542890</v>
      </c>
      <c r="L1833" s="475"/>
    </row>
    <row r="1834" spans="1:12" x14ac:dyDescent="0.2">
      <c r="A1834" s="305">
        <v>160</v>
      </c>
      <c r="B1834" s="469" t="s">
        <v>2158</v>
      </c>
      <c r="C1834" s="476" t="s">
        <v>7026</v>
      </c>
      <c r="D1834" s="464"/>
      <c r="E1834" s="465" t="s">
        <v>3612</v>
      </c>
      <c r="F1834" s="466" t="s">
        <v>3609</v>
      </c>
      <c r="G1834" s="750"/>
      <c r="H1834" s="477">
        <v>45230</v>
      </c>
      <c r="I1834" s="473">
        <f t="shared" si="72"/>
        <v>5982211.7117117113</v>
      </c>
      <c r="J1834" s="473">
        <f t="shared" si="73"/>
        <v>658043.28828828828</v>
      </c>
      <c r="K1834" s="474">
        <v>6640255</v>
      </c>
      <c r="L1834" s="475"/>
    </row>
    <row r="1835" spans="1:12" ht="18" x14ac:dyDescent="0.25">
      <c r="B1835" s="490" t="s">
        <v>289</v>
      </c>
      <c r="C1835" s="491"/>
      <c r="D1835" s="492"/>
      <c r="E1835" s="493"/>
      <c r="F1835" s="494"/>
      <c r="G1835" s="514"/>
      <c r="H1835" s="495"/>
      <c r="I1835" s="496">
        <f>SUM(I1675:I1834)</f>
        <v>1139651670.2702696</v>
      </c>
      <c r="J1835" s="496">
        <f>SUM(J1675:J1834)</f>
        <v>125361683.72972974</v>
      </c>
      <c r="K1835" s="496">
        <f>SUM(K1675:K1834)</f>
        <v>1265013354</v>
      </c>
      <c r="L1835" s="497"/>
    </row>
    <row r="1836" spans="1:12" s="352" customFormat="1" ht="20.25" x14ac:dyDescent="0.3">
      <c r="A1836" s="305"/>
      <c r="B1836" s="498" t="s">
        <v>108</v>
      </c>
      <c r="C1836" s="486"/>
      <c r="D1836" s="487"/>
      <c r="E1836" s="487"/>
      <c r="F1836" s="487"/>
      <c r="G1836" s="487"/>
      <c r="H1836" s="499"/>
      <c r="I1836" s="500"/>
      <c r="J1836" s="500"/>
      <c r="K1836" s="501"/>
      <c r="L1836" s="502"/>
    </row>
    <row r="1837" spans="1:12" s="520" customFormat="1" x14ac:dyDescent="0.2">
      <c r="A1837" s="517">
        <v>1</v>
      </c>
      <c r="B1837" s="485" t="s">
        <v>2159</v>
      </c>
      <c r="C1837" s="486" t="s">
        <v>5228</v>
      </c>
      <c r="D1837" s="487" t="s">
        <v>2753</v>
      </c>
      <c r="E1837" s="503" t="s">
        <v>2754</v>
      </c>
      <c r="F1837" s="504" t="s">
        <v>2755</v>
      </c>
      <c r="G1837" s="518" t="s">
        <v>5168</v>
      </c>
      <c r="H1837" s="519">
        <v>45232</v>
      </c>
      <c r="I1837" s="488">
        <f>K1837/1.11</f>
        <v>675675.67567567562</v>
      </c>
      <c r="J1837" s="488">
        <f>I1837*11%</f>
        <v>74324.32432432432</v>
      </c>
      <c r="K1837" s="489">
        <v>750000</v>
      </c>
      <c r="L1837" s="547"/>
    </row>
    <row r="1838" spans="1:12" s="520" customFormat="1" x14ac:dyDescent="0.2">
      <c r="A1838" s="517">
        <v>2</v>
      </c>
      <c r="B1838" s="469" t="s">
        <v>2160</v>
      </c>
      <c r="C1838" s="470" t="s">
        <v>7030</v>
      </c>
      <c r="D1838" s="464" t="s">
        <v>2758</v>
      </c>
      <c r="E1838" s="708" t="s">
        <v>2759</v>
      </c>
      <c r="F1838" s="466" t="s">
        <v>2755</v>
      </c>
      <c r="G1838" s="518" t="s">
        <v>5169</v>
      </c>
      <c r="H1838" s="519">
        <v>45232</v>
      </c>
      <c r="I1838" s="473">
        <f>K1838/1.11</f>
        <v>29355762.162162159</v>
      </c>
      <c r="J1838" s="473">
        <f>I1838*11%</f>
        <v>3229133.8378378376</v>
      </c>
      <c r="K1838" s="474">
        <v>32584896</v>
      </c>
      <c r="L1838" s="475"/>
    </row>
    <row r="1839" spans="1:12" s="520" customFormat="1" x14ac:dyDescent="0.2">
      <c r="A1839" s="517">
        <v>3</v>
      </c>
      <c r="B1839" s="485" t="s">
        <v>2161</v>
      </c>
      <c r="C1839" s="476" t="s">
        <v>7031</v>
      </c>
      <c r="D1839" s="464" t="s">
        <v>2758</v>
      </c>
      <c r="E1839" s="708" t="s">
        <v>2759</v>
      </c>
      <c r="F1839" s="466" t="s">
        <v>2755</v>
      </c>
      <c r="G1839" s="518" t="s">
        <v>5170</v>
      </c>
      <c r="H1839" s="519">
        <v>45232</v>
      </c>
      <c r="I1839" s="488">
        <f t="shared" ref="I1839:I1879" si="74">K1839/1.11</f>
        <v>1140864.8648648649</v>
      </c>
      <c r="J1839" s="488">
        <f t="shared" ref="J1839:J1879" si="75">I1839*11%</f>
        <v>125495.13513513513</v>
      </c>
      <c r="K1839" s="474">
        <v>1266360</v>
      </c>
      <c r="L1839" s="475"/>
    </row>
    <row r="1840" spans="1:12" s="520" customFormat="1" x14ac:dyDescent="0.2">
      <c r="A1840" s="517">
        <v>4</v>
      </c>
      <c r="B1840" s="469" t="s">
        <v>2162</v>
      </c>
      <c r="C1840" s="476" t="s">
        <v>7032</v>
      </c>
      <c r="D1840" s="464" t="s">
        <v>2783</v>
      </c>
      <c r="E1840" s="465" t="s">
        <v>2784</v>
      </c>
      <c r="F1840" s="466" t="s">
        <v>2785</v>
      </c>
      <c r="G1840" s="518" t="s">
        <v>5171</v>
      </c>
      <c r="H1840" s="519">
        <v>45234</v>
      </c>
      <c r="I1840" s="473">
        <f t="shared" si="74"/>
        <v>1615990.9909909908</v>
      </c>
      <c r="J1840" s="473">
        <f t="shared" si="75"/>
        <v>177759.00900900899</v>
      </c>
      <c r="K1840" s="474">
        <v>1793750</v>
      </c>
      <c r="L1840" s="475"/>
    </row>
    <row r="1841" spans="1:12" s="520" customFormat="1" x14ac:dyDescent="0.2">
      <c r="A1841" s="517">
        <v>5</v>
      </c>
      <c r="B1841" s="485" t="s">
        <v>2163</v>
      </c>
      <c r="C1841" s="476" t="s">
        <v>7033</v>
      </c>
      <c r="D1841" s="464" t="s">
        <v>2856</v>
      </c>
      <c r="E1841" s="465" t="s">
        <v>2857</v>
      </c>
      <c r="F1841" s="466" t="s">
        <v>2858</v>
      </c>
      <c r="G1841" s="518" t="s">
        <v>5172</v>
      </c>
      <c r="H1841" s="519">
        <v>45236</v>
      </c>
      <c r="I1841" s="488">
        <f t="shared" si="74"/>
        <v>798810.81081081077</v>
      </c>
      <c r="J1841" s="488">
        <f t="shared" si="75"/>
        <v>87869.189189189186</v>
      </c>
      <c r="K1841" s="474">
        <v>886680</v>
      </c>
      <c r="L1841" s="475"/>
    </row>
    <row r="1842" spans="1:12" s="520" customFormat="1" x14ac:dyDescent="0.2">
      <c r="A1842" s="517">
        <v>6</v>
      </c>
      <c r="B1842" s="469" t="s">
        <v>2164</v>
      </c>
      <c r="C1842" s="476" t="s">
        <v>7034</v>
      </c>
      <c r="D1842" s="487" t="s">
        <v>2753</v>
      </c>
      <c r="E1842" s="503" t="s">
        <v>2754</v>
      </c>
      <c r="F1842" s="504" t="s">
        <v>2755</v>
      </c>
      <c r="G1842" s="518" t="s">
        <v>5173</v>
      </c>
      <c r="H1842" s="519">
        <v>45236</v>
      </c>
      <c r="I1842" s="473">
        <f t="shared" si="74"/>
        <v>684684.68468468462</v>
      </c>
      <c r="J1842" s="473">
        <f t="shared" si="75"/>
        <v>75315.315315315311</v>
      </c>
      <c r="K1842" s="474">
        <v>760000</v>
      </c>
      <c r="L1842" s="475"/>
    </row>
    <row r="1843" spans="1:12" s="520" customFormat="1" x14ac:dyDescent="0.2">
      <c r="A1843" s="517">
        <v>7</v>
      </c>
      <c r="B1843" s="485" t="s">
        <v>2165</v>
      </c>
      <c r="C1843" s="476" t="s">
        <v>7035</v>
      </c>
      <c r="D1843" s="464" t="s">
        <v>2758</v>
      </c>
      <c r="E1843" s="708" t="s">
        <v>2759</v>
      </c>
      <c r="F1843" s="466" t="s">
        <v>2755</v>
      </c>
      <c r="G1843" s="518" t="s">
        <v>5174</v>
      </c>
      <c r="H1843" s="519">
        <v>45236</v>
      </c>
      <c r="I1843" s="488">
        <f t="shared" si="74"/>
        <v>15421469.369369367</v>
      </c>
      <c r="J1843" s="488">
        <f t="shared" si="75"/>
        <v>1696361.6306306303</v>
      </c>
      <c r="K1843" s="474">
        <v>17117831</v>
      </c>
      <c r="L1843" s="475"/>
    </row>
    <row r="1844" spans="1:12" s="520" customFormat="1" x14ac:dyDescent="0.2">
      <c r="A1844" s="517">
        <v>8</v>
      </c>
      <c r="B1844" s="469" t="s">
        <v>2166</v>
      </c>
      <c r="C1844" s="476" t="s">
        <v>7038</v>
      </c>
      <c r="D1844" s="464" t="s">
        <v>2783</v>
      </c>
      <c r="E1844" s="465" t="s">
        <v>2784</v>
      </c>
      <c r="F1844" s="466" t="s">
        <v>2785</v>
      </c>
      <c r="G1844" s="518" t="s">
        <v>6723</v>
      </c>
      <c r="H1844" s="519">
        <v>45236</v>
      </c>
      <c r="I1844" s="473">
        <f t="shared" si="74"/>
        <v>3211486.4864864862</v>
      </c>
      <c r="J1844" s="473">
        <f t="shared" si="75"/>
        <v>353263.51351351349</v>
      </c>
      <c r="K1844" s="474">
        <v>3564750</v>
      </c>
      <c r="L1844" s="475"/>
    </row>
    <row r="1845" spans="1:12" s="520" customFormat="1" x14ac:dyDescent="0.2">
      <c r="A1845" s="517">
        <v>9</v>
      </c>
      <c r="B1845" s="485" t="s">
        <v>2167</v>
      </c>
      <c r="C1845" s="476" t="s">
        <v>7037</v>
      </c>
      <c r="D1845" s="464" t="s">
        <v>2783</v>
      </c>
      <c r="E1845" s="465" t="s">
        <v>2784</v>
      </c>
      <c r="F1845" s="466" t="s">
        <v>2785</v>
      </c>
      <c r="G1845" s="518" t="s">
        <v>6724</v>
      </c>
      <c r="H1845" s="519">
        <v>45238</v>
      </c>
      <c r="I1845" s="488">
        <f t="shared" si="74"/>
        <v>1225000</v>
      </c>
      <c r="J1845" s="488">
        <f t="shared" si="75"/>
        <v>134750</v>
      </c>
      <c r="K1845" s="474">
        <v>1359750</v>
      </c>
      <c r="L1845" s="475"/>
    </row>
    <row r="1846" spans="1:12" s="520" customFormat="1" ht="14.25" customHeight="1" x14ac:dyDescent="0.2">
      <c r="A1846" s="517">
        <v>10</v>
      </c>
      <c r="B1846" s="469" t="s">
        <v>2168</v>
      </c>
      <c r="C1846" s="476" t="s">
        <v>5267</v>
      </c>
      <c r="D1846" s="464" t="s">
        <v>2758</v>
      </c>
      <c r="E1846" s="708" t="s">
        <v>2759</v>
      </c>
      <c r="F1846" s="466" t="s">
        <v>2755</v>
      </c>
      <c r="G1846" s="518" t="s">
        <v>6725</v>
      </c>
      <c r="H1846" s="519">
        <v>45238</v>
      </c>
      <c r="I1846" s="473">
        <f t="shared" si="74"/>
        <v>1189491.8918918918</v>
      </c>
      <c r="J1846" s="473">
        <f t="shared" si="75"/>
        <v>130844.10810810811</v>
      </c>
      <c r="K1846" s="474">
        <v>1320336</v>
      </c>
      <c r="L1846" s="475"/>
    </row>
    <row r="1847" spans="1:12" s="520" customFormat="1" ht="14.25" customHeight="1" x14ac:dyDescent="0.2">
      <c r="A1847" s="517">
        <v>11</v>
      </c>
      <c r="B1847" s="485" t="s">
        <v>2169</v>
      </c>
      <c r="C1847" s="476" t="s">
        <v>7041</v>
      </c>
      <c r="D1847" s="464" t="s">
        <v>4915</v>
      </c>
      <c r="E1847" s="471" t="s">
        <v>4916</v>
      </c>
      <c r="F1847" s="471" t="s">
        <v>2823</v>
      </c>
      <c r="G1847" s="518" t="s">
        <v>6739</v>
      </c>
      <c r="H1847" s="519">
        <v>45240</v>
      </c>
      <c r="I1847" s="488">
        <f t="shared" si="74"/>
        <v>11936936.936936935</v>
      </c>
      <c r="J1847" s="488">
        <f t="shared" si="75"/>
        <v>1313063.063063063</v>
      </c>
      <c r="K1847" s="474">
        <v>13250000</v>
      </c>
      <c r="L1847" s="475"/>
    </row>
    <row r="1848" spans="1:12" s="520" customFormat="1" x14ac:dyDescent="0.2">
      <c r="A1848" s="517">
        <v>12</v>
      </c>
      <c r="B1848" s="469" t="s">
        <v>2170</v>
      </c>
      <c r="C1848" s="476" t="s">
        <v>7042</v>
      </c>
      <c r="D1848" s="511" t="s">
        <v>2773</v>
      </c>
      <c r="E1848" s="465" t="s">
        <v>2774</v>
      </c>
      <c r="F1848" s="510" t="s">
        <v>2755</v>
      </c>
      <c r="G1848" s="518" t="s">
        <v>6740</v>
      </c>
      <c r="H1848" s="519">
        <v>45240</v>
      </c>
      <c r="I1848" s="473">
        <f t="shared" si="74"/>
        <v>1342229.7297297297</v>
      </c>
      <c r="J1848" s="473">
        <f t="shared" si="75"/>
        <v>147645.27027027027</v>
      </c>
      <c r="K1848" s="474">
        <v>1489875</v>
      </c>
      <c r="L1848" s="475"/>
    </row>
    <row r="1849" spans="1:12" s="520" customFormat="1" ht="14.25" customHeight="1" x14ac:dyDescent="0.2">
      <c r="A1849" s="517">
        <v>13</v>
      </c>
      <c r="B1849" s="485" t="s">
        <v>2171</v>
      </c>
      <c r="C1849" s="476" t="s">
        <v>7045</v>
      </c>
      <c r="D1849" s="487" t="s">
        <v>2790</v>
      </c>
      <c r="E1849" s="503" t="s">
        <v>2791</v>
      </c>
      <c r="F1849" s="504" t="s">
        <v>2792</v>
      </c>
      <c r="G1849" s="518" t="s">
        <v>6741</v>
      </c>
      <c r="H1849" s="519">
        <v>45243</v>
      </c>
      <c r="I1849" s="488">
        <f t="shared" si="74"/>
        <v>759279.27927927917</v>
      </c>
      <c r="J1849" s="488">
        <f t="shared" si="75"/>
        <v>83520.72072072071</v>
      </c>
      <c r="K1849" s="474">
        <v>842800</v>
      </c>
      <c r="L1849" s="475"/>
    </row>
    <row r="1850" spans="1:12" s="520" customFormat="1" ht="14.25" customHeight="1" x14ac:dyDescent="0.2">
      <c r="A1850" s="517">
        <v>14</v>
      </c>
      <c r="B1850" s="469" t="s">
        <v>2172</v>
      </c>
      <c r="C1850" s="476" t="s">
        <v>7046</v>
      </c>
      <c r="D1850" s="728" t="s">
        <v>3672</v>
      </c>
      <c r="E1850" s="729" t="s">
        <v>3673</v>
      </c>
      <c r="F1850" s="730" t="s">
        <v>3052</v>
      </c>
      <c r="G1850" s="518" t="s">
        <v>6742</v>
      </c>
      <c r="H1850" s="519">
        <v>45244</v>
      </c>
      <c r="I1850" s="473">
        <f t="shared" si="74"/>
        <v>11091891.891891891</v>
      </c>
      <c r="J1850" s="473">
        <f t="shared" si="75"/>
        <v>1220108.1081081079</v>
      </c>
      <c r="K1850" s="474">
        <v>12312000</v>
      </c>
      <c r="L1850" s="475"/>
    </row>
    <row r="1851" spans="1:12" s="520" customFormat="1" x14ac:dyDescent="0.2">
      <c r="A1851" s="517">
        <v>15</v>
      </c>
      <c r="B1851" s="485" t="s">
        <v>2173</v>
      </c>
      <c r="C1851" s="476" t="s">
        <v>7047</v>
      </c>
      <c r="D1851" s="487" t="s">
        <v>2826</v>
      </c>
      <c r="E1851" s="503" t="s">
        <v>2827</v>
      </c>
      <c r="F1851" s="504" t="s">
        <v>2828</v>
      </c>
      <c r="G1851" s="518" t="s">
        <v>6743</v>
      </c>
      <c r="H1851" s="519">
        <v>45244</v>
      </c>
      <c r="I1851" s="488">
        <f t="shared" si="74"/>
        <v>1513513.5135135134</v>
      </c>
      <c r="J1851" s="488">
        <f t="shared" si="75"/>
        <v>166486.48648648648</v>
      </c>
      <c r="K1851" s="474">
        <v>1680000</v>
      </c>
      <c r="L1851" s="475"/>
    </row>
    <row r="1852" spans="1:12" s="520" customFormat="1" x14ac:dyDescent="0.2">
      <c r="A1852" s="517">
        <v>16</v>
      </c>
      <c r="B1852" s="469" t="s">
        <v>2174</v>
      </c>
      <c r="C1852" s="476" t="s">
        <v>7118</v>
      </c>
      <c r="D1852" s="464" t="s">
        <v>7119</v>
      </c>
      <c r="E1852" s="465" t="s">
        <v>7128</v>
      </c>
      <c r="F1852" s="466" t="s">
        <v>2823</v>
      </c>
      <c r="G1852" s="518" t="s">
        <v>6744</v>
      </c>
      <c r="H1852" s="519">
        <v>45245</v>
      </c>
      <c r="I1852" s="473">
        <f t="shared" si="74"/>
        <v>5106429.7297297297</v>
      </c>
      <c r="J1852" s="473">
        <f t="shared" si="75"/>
        <v>561707.2702702703</v>
      </c>
      <c r="K1852" s="474">
        <v>5668137</v>
      </c>
      <c r="L1852" s="475"/>
    </row>
    <row r="1853" spans="1:12" s="520" customFormat="1" x14ac:dyDescent="0.2">
      <c r="A1853" s="517">
        <v>17</v>
      </c>
      <c r="B1853" s="485" t="s">
        <v>2175</v>
      </c>
      <c r="C1853" s="476" t="s">
        <v>7120</v>
      </c>
      <c r="D1853" s="464" t="s">
        <v>2783</v>
      </c>
      <c r="E1853" s="465" t="s">
        <v>2784</v>
      </c>
      <c r="F1853" s="466" t="s">
        <v>2785</v>
      </c>
      <c r="G1853" s="518" t="s">
        <v>6745</v>
      </c>
      <c r="H1853" s="519">
        <v>45243</v>
      </c>
      <c r="I1853" s="488">
        <f t="shared" si="74"/>
        <v>19862027.027027026</v>
      </c>
      <c r="J1853" s="488">
        <f t="shared" si="75"/>
        <v>2184822.9729729728</v>
      </c>
      <c r="K1853" s="474">
        <v>22046850</v>
      </c>
      <c r="L1853" s="475"/>
    </row>
    <row r="1854" spans="1:12" s="520" customFormat="1" x14ac:dyDescent="0.2">
      <c r="A1854" s="517">
        <v>18</v>
      </c>
      <c r="B1854" s="469" t="s">
        <v>2176</v>
      </c>
      <c r="C1854" s="476" t="s">
        <v>7121</v>
      </c>
      <c r="D1854" s="464" t="s">
        <v>4915</v>
      </c>
      <c r="E1854" s="471" t="s">
        <v>4916</v>
      </c>
      <c r="F1854" s="471" t="s">
        <v>2823</v>
      </c>
      <c r="G1854" s="518" t="s">
        <v>6746</v>
      </c>
      <c r="H1854" s="519">
        <v>45245</v>
      </c>
      <c r="I1854" s="473">
        <f t="shared" si="74"/>
        <v>20330270.270270269</v>
      </c>
      <c r="J1854" s="473">
        <f t="shared" si="75"/>
        <v>2236329.7297297297</v>
      </c>
      <c r="K1854" s="474">
        <v>22566600</v>
      </c>
      <c r="L1854" s="475"/>
    </row>
    <row r="1855" spans="1:12" s="520" customFormat="1" x14ac:dyDescent="0.2">
      <c r="A1855" s="517">
        <v>19</v>
      </c>
      <c r="B1855" s="485" t="s">
        <v>2177</v>
      </c>
      <c r="C1855" s="476" t="s">
        <v>7122</v>
      </c>
      <c r="D1855" s="464" t="s">
        <v>2806</v>
      </c>
      <c r="E1855" s="465" t="s">
        <v>2807</v>
      </c>
      <c r="F1855" s="466" t="s">
        <v>2808</v>
      </c>
      <c r="G1855" s="518" t="s">
        <v>6747</v>
      </c>
      <c r="H1855" s="477">
        <v>45246</v>
      </c>
      <c r="I1855" s="488">
        <f t="shared" si="74"/>
        <v>16345945.945945945</v>
      </c>
      <c r="J1855" s="488">
        <f t="shared" si="75"/>
        <v>1798054.054054054</v>
      </c>
      <c r="K1855" s="474">
        <v>18144000</v>
      </c>
      <c r="L1855" s="475"/>
    </row>
    <row r="1856" spans="1:12" s="520" customFormat="1" x14ac:dyDescent="0.2">
      <c r="A1856" s="517">
        <v>20</v>
      </c>
      <c r="B1856" s="469" t="s">
        <v>2178</v>
      </c>
      <c r="C1856" s="476" t="s">
        <v>7123</v>
      </c>
      <c r="D1856" s="728" t="s">
        <v>3672</v>
      </c>
      <c r="E1856" s="729" t="s">
        <v>3673</v>
      </c>
      <c r="F1856" s="730" t="s">
        <v>3052</v>
      </c>
      <c r="G1856" s="518" t="s">
        <v>6748</v>
      </c>
      <c r="H1856" s="477">
        <v>45247</v>
      </c>
      <c r="I1856" s="473">
        <f t="shared" si="74"/>
        <v>3697297.297297297</v>
      </c>
      <c r="J1856" s="473">
        <f t="shared" si="75"/>
        <v>406702.70270270266</v>
      </c>
      <c r="K1856" s="474">
        <v>4104000</v>
      </c>
      <c r="L1856" s="475"/>
    </row>
    <row r="1857" spans="1:12" s="520" customFormat="1" x14ac:dyDescent="0.2">
      <c r="A1857" s="517">
        <v>21</v>
      </c>
      <c r="B1857" s="485" t="s">
        <v>2179</v>
      </c>
      <c r="C1857" s="476" t="s">
        <v>7124</v>
      </c>
      <c r="D1857" s="464" t="s">
        <v>2783</v>
      </c>
      <c r="E1857" s="465" t="s">
        <v>2784</v>
      </c>
      <c r="F1857" s="466" t="s">
        <v>2785</v>
      </c>
      <c r="G1857" s="518" t="s">
        <v>6749</v>
      </c>
      <c r="H1857" s="477">
        <v>45248</v>
      </c>
      <c r="I1857" s="488">
        <f t="shared" si="74"/>
        <v>13301891.891891891</v>
      </c>
      <c r="J1857" s="488">
        <f t="shared" si="75"/>
        <v>1463208.1081081079</v>
      </c>
      <c r="K1857" s="474">
        <v>14765100</v>
      </c>
      <c r="L1857" s="475"/>
    </row>
    <row r="1858" spans="1:12" s="520" customFormat="1" x14ac:dyDescent="0.2">
      <c r="A1858" s="517">
        <v>22</v>
      </c>
      <c r="B1858" s="469" t="s">
        <v>2180</v>
      </c>
      <c r="C1858" s="476" t="s">
        <v>7125</v>
      </c>
      <c r="D1858" s="725" t="s">
        <v>3302</v>
      </c>
      <c r="E1858" s="708" t="s">
        <v>3303</v>
      </c>
      <c r="F1858" s="727" t="s">
        <v>2873</v>
      </c>
      <c r="G1858" s="518" t="s">
        <v>6750</v>
      </c>
      <c r="H1858" s="477">
        <v>45247</v>
      </c>
      <c r="I1858" s="473">
        <f t="shared" si="74"/>
        <v>1042054.054054054</v>
      </c>
      <c r="J1858" s="473">
        <f t="shared" si="75"/>
        <v>114625.94594594593</v>
      </c>
      <c r="K1858" s="474">
        <v>1156680</v>
      </c>
      <c r="L1858" s="475"/>
    </row>
    <row r="1859" spans="1:12" s="520" customFormat="1" x14ac:dyDescent="0.2">
      <c r="A1859" s="517">
        <v>23</v>
      </c>
      <c r="B1859" s="485" t="s">
        <v>2181</v>
      </c>
      <c r="C1859" s="476" t="s">
        <v>7126</v>
      </c>
      <c r="D1859" s="464" t="s">
        <v>2806</v>
      </c>
      <c r="E1859" s="465" t="s">
        <v>2807</v>
      </c>
      <c r="F1859" s="466" t="s">
        <v>2808</v>
      </c>
      <c r="G1859" s="518" t="s">
        <v>6751</v>
      </c>
      <c r="H1859" s="477">
        <v>45248</v>
      </c>
      <c r="I1859" s="488">
        <f t="shared" si="74"/>
        <v>4427027.0270270268</v>
      </c>
      <c r="J1859" s="488">
        <f t="shared" si="75"/>
        <v>486972.97297297296</v>
      </c>
      <c r="K1859" s="474">
        <v>4914000</v>
      </c>
      <c r="L1859" s="475"/>
    </row>
    <row r="1860" spans="1:12" s="520" customFormat="1" x14ac:dyDescent="0.2">
      <c r="A1860" s="517">
        <v>24</v>
      </c>
      <c r="B1860" s="469" t="s">
        <v>2182</v>
      </c>
      <c r="C1860" s="476" t="s">
        <v>4974</v>
      </c>
      <c r="D1860" s="464" t="s">
        <v>2783</v>
      </c>
      <c r="E1860" s="465" t="s">
        <v>2784</v>
      </c>
      <c r="F1860" s="466" t="s">
        <v>2785</v>
      </c>
      <c r="G1860" s="518" t="s">
        <v>6752</v>
      </c>
      <c r="H1860" s="477">
        <v>45248</v>
      </c>
      <c r="I1860" s="473">
        <f t="shared" si="74"/>
        <v>33021081.081081077</v>
      </c>
      <c r="J1860" s="473">
        <f t="shared" si="75"/>
        <v>3632318.9189189184</v>
      </c>
      <c r="K1860" s="474">
        <v>36653400</v>
      </c>
      <c r="L1860" s="475"/>
    </row>
    <row r="1861" spans="1:12" s="520" customFormat="1" x14ac:dyDescent="0.2">
      <c r="A1861" s="517">
        <v>25</v>
      </c>
      <c r="B1861" s="485" t="s">
        <v>2183</v>
      </c>
      <c r="C1861" s="476" t="s">
        <v>7127</v>
      </c>
      <c r="D1861" s="464" t="s">
        <v>2783</v>
      </c>
      <c r="E1861" s="465" t="s">
        <v>2784</v>
      </c>
      <c r="F1861" s="466" t="s">
        <v>2785</v>
      </c>
      <c r="G1861" s="518" t="s">
        <v>6753</v>
      </c>
      <c r="H1861" s="477">
        <v>45248</v>
      </c>
      <c r="I1861" s="488">
        <f t="shared" si="74"/>
        <v>7389729.7297297288</v>
      </c>
      <c r="J1861" s="488">
        <f t="shared" si="75"/>
        <v>812870.27027027018</v>
      </c>
      <c r="K1861" s="474">
        <v>8202600</v>
      </c>
      <c r="L1861" s="475"/>
    </row>
    <row r="1862" spans="1:12" s="521" customFormat="1" x14ac:dyDescent="0.2">
      <c r="A1862" s="517">
        <v>26</v>
      </c>
      <c r="B1862" s="469" t="s">
        <v>2184</v>
      </c>
      <c r="C1862" s="476" t="s">
        <v>7138</v>
      </c>
      <c r="D1862" s="464" t="s">
        <v>2758</v>
      </c>
      <c r="E1862" s="708" t="s">
        <v>2759</v>
      </c>
      <c r="F1862" s="466" t="s">
        <v>2755</v>
      </c>
      <c r="G1862" s="518" t="s">
        <v>6754</v>
      </c>
      <c r="H1862" s="477">
        <v>45248</v>
      </c>
      <c r="I1862" s="473">
        <f t="shared" si="74"/>
        <v>3311936.9369369368</v>
      </c>
      <c r="J1862" s="473">
        <f t="shared" si="75"/>
        <v>364313.06306306308</v>
      </c>
      <c r="K1862" s="474">
        <v>3676250</v>
      </c>
      <c r="L1862" s="475"/>
    </row>
    <row r="1863" spans="1:12" s="521" customFormat="1" x14ac:dyDescent="0.2">
      <c r="A1863" s="517">
        <v>27</v>
      </c>
      <c r="B1863" s="485" t="s">
        <v>2185</v>
      </c>
      <c r="C1863" s="476" t="s">
        <v>7149</v>
      </c>
      <c r="D1863" s="464" t="s">
        <v>7150</v>
      </c>
      <c r="E1863" s="465" t="s">
        <v>7151</v>
      </c>
      <c r="F1863" s="466" t="s">
        <v>3147</v>
      </c>
      <c r="G1863" s="518" t="s">
        <v>6755</v>
      </c>
      <c r="H1863" s="477">
        <v>45257</v>
      </c>
      <c r="I1863" s="488">
        <f t="shared" si="74"/>
        <v>145945.94594594595</v>
      </c>
      <c r="J1863" s="488">
        <f t="shared" si="75"/>
        <v>16054.054054054055</v>
      </c>
      <c r="K1863" s="474">
        <v>162000</v>
      </c>
      <c r="L1863" s="475"/>
    </row>
    <row r="1864" spans="1:12" s="521" customFormat="1" x14ac:dyDescent="0.2">
      <c r="A1864" s="517">
        <v>28</v>
      </c>
      <c r="B1864" s="469" t="s">
        <v>2186</v>
      </c>
      <c r="C1864" s="476" t="s">
        <v>7152</v>
      </c>
      <c r="D1864" s="464" t="s">
        <v>2849</v>
      </c>
      <c r="E1864" s="471" t="s">
        <v>2850</v>
      </c>
      <c r="F1864" s="471" t="s">
        <v>2851</v>
      </c>
      <c r="G1864" s="518" t="s">
        <v>6756</v>
      </c>
      <c r="H1864" s="477">
        <v>45253</v>
      </c>
      <c r="I1864" s="473">
        <f t="shared" si="74"/>
        <v>1258180.1801801801</v>
      </c>
      <c r="J1864" s="473">
        <f t="shared" si="75"/>
        <v>138399.81981981982</v>
      </c>
      <c r="K1864" s="474">
        <v>1396580</v>
      </c>
      <c r="L1864" s="475"/>
    </row>
    <row r="1865" spans="1:12" s="521" customFormat="1" x14ac:dyDescent="0.2">
      <c r="A1865" s="517">
        <v>29</v>
      </c>
      <c r="B1865" s="485" t="s">
        <v>2187</v>
      </c>
      <c r="C1865" s="476" t="s">
        <v>7153</v>
      </c>
      <c r="D1865" s="464" t="s">
        <v>4915</v>
      </c>
      <c r="E1865" s="471" t="s">
        <v>4916</v>
      </c>
      <c r="F1865" s="471" t="s">
        <v>2823</v>
      </c>
      <c r="G1865" s="518" t="s">
        <v>6757</v>
      </c>
      <c r="H1865" s="477">
        <v>45254</v>
      </c>
      <c r="I1865" s="488">
        <f t="shared" si="74"/>
        <v>10897297.297297297</v>
      </c>
      <c r="J1865" s="488">
        <f t="shared" si="75"/>
        <v>1198702.7027027027</v>
      </c>
      <c r="K1865" s="474">
        <v>12096000</v>
      </c>
      <c r="L1865" s="475"/>
    </row>
    <row r="1866" spans="1:12" s="521" customFormat="1" x14ac:dyDescent="0.2">
      <c r="A1866" s="517">
        <v>30</v>
      </c>
      <c r="B1866" s="469" t="s">
        <v>2188</v>
      </c>
      <c r="C1866" s="476" t="s">
        <v>5463</v>
      </c>
      <c r="D1866" s="487" t="s">
        <v>2790</v>
      </c>
      <c r="E1866" s="503" t="s">
        <v>2791</v>
      </c>
      <c r="F1866" s="504" t="s">
        <v>2792</v>
      </c>
      <c r="G1866" s="518" t="s">
        <v>6758</v>
      </c>
      <c r="H1866" s="477">
        <v>45254</v>
      </c>
      <c r="I1866" s="473">
        <f t="shared" si="74"/>
        <v>1595416.2162162161</v>
      </c>
      <c r="J1866" s="473">
        <f t="shared" si="75"/>
        <v>175495.78378378376</v>
      </c>
      <c r="K1866" s="474">
        <v>1770912</v>
      </c>
      <c r="L1866" s="475"/>
    </row>
    <row r="1867" spans="1:12" s="521" customFormat="1" x14ac:dyDescent="0.2">
      <c r="A1867" s="517">
        <v>31</v>
      </c>
      <c r="B1867" s="485" t="s">
        <v>2189</v>
      </c>
      <c r="C1867" s="476" t="s">
        <v>7154</v>
      </c>
      <c r="D1867" s="464" t="s">
        <v>2783</v>
      </c>
      <c r="E1867" s="465" t="s">
        <v>2784</v>
      </c>
      <c r="F1867" s="466" t="s">
        <v>2785</v>
      </c>
      <c r="G1867" s="518" t="s">
        <v>6759</v>
      </c>
      <c r="H1867" s="477">
        <v>45254</v>
      </c>
      <c r="I1867" s="488">
        <f t="shared" si="74"/>
        <v>2213513.5135135134</v>
      </c>
      <c r="J1867" s="488">
        <f t="shared" si="75"/>
        <v>243486.48648648648</v>
      </c>
      <c r="K1867" s="474">
        <v>2457000</v>
      </c>
      <c r="L1867" s="475"/>
    </row>
    <row r="1868" spans="1:12" s="521" customFormat="1" x14ac:dyDescent="0.2">
      <c r="A1868" s="517">
        <v>32</v>
      </c>
      <c r="B1868" s="469" t="s">
        <v>2190</v>
      </c>
      <c r="C1868" s="476" t="s">
        <v>5614</v>
      </c>
      <c r="D1868" s="487" t="s">
        <v>2790</v>
      </c>
      <c r="E1868" s="503" t="s">
        <v>2791</v>
      </c>
      <c r="F1868" s="504" t="s">
        <v>2792</v>
      </c>
      <c r="G1868" s="518" t="s">
        <v>6760</v>
      </c>
      <c r="H1868" s="477">
        <v>45255</v>
      </c>
      <c r="I1868" s="473">
        <f t="shared" si="74"/>
        <v>1578990.9909909908</v>
      </c>
      <c r="J1868" s="473">
        <f t="shared" si="75"/>
        <v>173689.00900900899</v>
      </c>
      <c r="K1868" s="474">
        <v>1752680</v>
      </c>
      <c r="L1868" s="475"/>
    </row>
    <row r="1869" spans="1:12" s="521" customFormat="1" x14ac:dyDescent="0.2">
      <c r="A1869" s="517">
        <v>33</v>
      </c>
      <c r="B1869" s="485" t="s">
        <v>2191</v>
      </c>
      <c r="C1869" s="476" t="s">
        <v>7155</v>
      </c>
      <c r="D1869" s="487" t="s">
        <v>2790</v>
      </c>
      <c r="E1869" s="503" t="s">
        <v>2791</v>
      </c>
      <c r="F1869" s="504" t="s">
        <v>2792</v>
      </c>
      <c r="G1869" s="518" t="s">
        <v>6761</v>
      </c>
      <c r="H1869" s="477">
        <v>45255</v>
      </c>
      <c r="I1869" s="488">
        <f t="shared" si="74"/>
        <v>3254054.054054054</v>
      </c>
      <c r="J1869" s="488">
        <f t="shared" si="75"/>
        <v>357945.94594594592</v>
      </c>
      <c r="K1869" s="474">
        <v>3612000</v>
      </c>
      <c r="L1869" s="478"/>
    </row>
    <row r="1870" spans="1:12" s="521" customFormat="1" x14ac:dyDescent="0.2">
      <c r="A1870" s="517">
        <v>34</v>
      </c>
      <c r="B1870" s="469" t="s">
        <v>2192</v>
      </c>
      <c r="C1870" s="476" t="s">
        <v>7214</v>
      </c>
      <c r="D1870" s="487" t="s">
        <v>2753</v>
      </c>
      <c r="E1870" s="503" t="s">
        <v>2754</v>
      </c>
      <c r="F1870" s="504" t="s">
        <v>2755</v>
      </c>
      <c r="G1870" s="518" t="s">
        <v>6762</v>
      </c>
      <c r="H1870" s="477">
        <v>45257</v>
      </c>
      <c r="I1870" s="473">
        <f t="shared" si="74"/>
        <v>410810.81081081077</v>
      </c>
      <c r="J1870" s="473">
        <f t="shared" si="75"/>
        <v>45189.189189189186</v>
      </c>
      <c r="K1870" s="474">
        <v>456000</v>
      </c>
      <c r="L1870" s="475"/>
    </row>
    <row r="1871" spans="1:12" s="521" customFormat="1" x14ac:dyDescent="0.2">
      <c r="A1871" s="517">
        <v>35</v>
      </c>
      <c r="B1871" s="485" t="s">
        <v>2193</v>
      </c>
      <c r="C1871" s="476" t="s">
        <v>7215</v>
      </c>
      <c r="D1871" s="728" t="s">
        <v>3672</v>
      </c>
      <c r="E1871" s="729" t="s">
        <v>3673</v>
      </c>
      <c r="F1871" s="730" t="s">
        <v>3052</v>
      </c>
      <c r="G1871" s="518" t="s">
        <v>6763</v>
      </c>
      <c r="H1871" s="477">
        <v>45258</v>
      </c>
      <c r="I1871" s="488">
        <f t="shared" si="74"/>
        <v>7394594.5945945941</v>
      </c>
      <c r="J1871" s="488">
        <f t="shared" si="75"/>
        <v>813405.40540540533</v>
      </c>
      <c r="K1871" s="474">
        <v>8208000</v>
      </c>
      <c r="L1871" s="475"/>
    </row>
    <row r="1872" spans="1:12" s="521" customFormat="1" x14ac:dyDescent="0.2">
      <c r="A1872" s="517">
        <v>36</v>
      </c>
      <c r="B1872" s="469" t="s">
        <v>2194</v>
      </c>
      <c r="C1872" s="476" t="s">
        <v>7216</v>
      </c>
      <c r="D1872" s="487" t="s">
        <v>2790</v>
      </c>
      <c r="E1872" s="503" t="s">
        <v>2791</v>
      </c>
      <c r="F1872" s="504" t="s">
        <v>2792</v>
      </c>
      <c r="G1872" s="518" t="s">
        <v>6764</v>
      </c>
      <c r="H1872" s="477">
        <v>45258</v>
      </c>
      <c r="I1872" s="473">
        <f t="shared" si="74"/>
        <v>3308288.2882882878</v>
      </c>
      <c r="J1872" s="473">
        <f t="shared" si="75"/>
        <v>363911.71171171166</v>
      </c>
      <c r="K1872" s="474">
        <v>3672200</v>
      </c>
      <c r="L1872" s="475"/>
    </row>
    <row r="1873" spans="1:12" s="521" customFormat="1" x14ac:dyDescent="0.2">
      <c r="A1873" s="517">
        <v>37</v>
      </c>
      <c r="B1873" s="485" t="s">
        <v>2195</v>
      </c>
      <c r="C1873" s="476" t="s">
        <v>7217</v>
      </c>
      <c r="D1873" s="464" t="s">
        <v>2856</v>
      </c>
      <c r="E1873" s="465" t="s">
        <v>2857</v>
      </c>
      <c r="F1873" s="466" t="s">
        <v>2858</v>
      </c>
      <c r="G1873" s="518" t="s">
        <v>6765</v>
      </c>
      <c r="H1873" s="477">
        <v>45257</v>
      </c>
      <c r="I1873" s="488">
        <f t="shared" si="74"/>
        <v>1181189.1891891891</v>
      </c>
      <c r="J1873" s="488">
        <f t="shared" si="75"/>
        <v>129930.8108108108</v>
      </c>
      <c r="K1873" s="474">
        <v>1311120</v>
      </c>
      <c r="L1873" s="475"/>
    </row>
    <row r="1874" spans="1:12" s="521" customFormat="1" x14ac:dyDescent="0.2">
      <c r="A1874" s="517">
        <v>38</v>
      </c>
      <c r="B1874" s="469" t="s">
        <v>2196</v>
      </c>
      <c r="C1874" s="476" t="s">
        <v>7218</v>
      </c>
      <c r="D1874" s="464" t="s">
        <v>2783</v>
      </c>
      <c r="E1874" s="465" t="s">
        <v>2784</v>
      </c>
      <c r="F1874" s="466" t="s">
        <v>2785</v>
      </c>
      <c r="G1874" s="518" t="s">
        <v>6766</v>
      </c>
      <c r="H1874" s="477">
        <v>45259</v>
      </c>
      <c r="I1874" s="473">
        <f t="shared" si="74"/>
        <v>6720157.6576576568</v>
      </c>
      <c r="J1874" s="473">
        <f t="shared" si="75"/>
        <v>739217.34234234225</v>
      </c>
      <c r="K1874" s="474">
        <v>7459375</v>
      </c>
      <c r="L1874" s="475"/>
    </row>
    <row r="1875" spans="1:12" s="521" customFormat="1" x14ac:dyDescent="0.2">
      <c r="A1875" s="517">
        <v>39</v>
      </c>
      <c r="B1875" s="485" t="s">
        <v>2197</v>
      </c>
      <c r="C1875" s="476" t="s">
        <v>7219</v>
      </c>
      <c r="D1875" s="725" t="s">
        <v>3302</v>
      </c>
      <c r="E1875" s="708" t="s">
        <v>3303</v>
      </c>
      <c r="F1875" s="727" t="s">
        <v>2873</v>
      </c>
      <c r="G1875" s="518" t="s">
        <v>6767</v>
      </c>
      <c r="H1875" s="477">
        <v>45259</v>
      </c>
      <c r="I1875" s="488">
        <f t="shared" si="74"/>
        <v>1579135.1351351349</v>
      </c>
      <c r="J1875" s="488">
        <f t="shared" si="75"/>
        <v>173704.86486486485</v>
      </c>
      <c r="K1875" s="474">
        <v>1752840</v>
      </c>
      <c r="L1875" s="475"/>
    </row>
    <row r="1876" spans="1:12" s="521" customFormat="1" x14ac:dyDescent="0.2">
      <c r="A1876" s="517">
        <v>40</v>
      </c>
      <c r="B1876" s="469" t="s">
        <v>2198</v>
      </c>
      <c r="C1876" s="476" t="s">
        <v>7249</v>
      </c>
      <c r="D1876" s="464" t="s">
        <v>2758</v>
      </c>
      <c r="E1876" s="708" t="s">
        <v>2759</v>
      </c>
      <c r="F1876" s="466" t="s">
        <v>2755</v>
      </c>
      <c r="G1876" s="518" t="s">
        <v>6768</v>
      </c>
      <c r="H1876" s="477">
        <v>45260</v>
      </c>
      <c r="I1876" s="473">
        <f t="shared" si="74"/>
        <v>37023870.270270266</v>
      </c>
      <c r="J1876" s="473">
        <f t="shared" si="75"/>
        <v>4072625.7297297292</v>
      </c>
      <c r="K1876" s="474">
        <v>41096496</v>
      </c>
      <c r="L1876" s="475"/>
    </row>
    <row r="1877" spans="1:12" s="521" customFormat="1" x14ac:dyDescent="0.2">
      <c r="A1877" s="517">
        <v>41</v>
      </c>
      <c r="B1877" s="485" t="s">
        <v>2199</v>
      </c>
      <c r="C1877" s="476" t="s">
        <v>7250</v>
      </c>
      <c r="D1877" s="464" t="s">
        <v>2779</v>
      </c>
      <c r="E1877" s="471" t="s">
        <v>2780</v>
      </c>
      <c r="F1877" s="471" t="s">
        <v>2755</v>
      </c>
      <c r="G1877" s="518" t="s">
        <v>6769</v>
      </c>
      <c r="H1877" s="477">
        <v>45260</v>
      </c>
      <c r="I1877" s="488">
        <f t="shared" si="74"/>
        <v>231567.56756756754</v>
      </c>
      <c r="J1877" s="488">
        <f t="shared" si="75"/>
        <v>25472.43243243243</v>
      </c>
      <c r="K1877" s="474">
        <v>257040</v>
      </c>
      <c r="L1877" s="475"/>
    </row>
    <row r="1878" spans="1:12" s="521" customFormat="1" x14ac:dyDescent="0.2">
      <c r="A1878" s="517">
        <v>42</v>
      </c>
      <c r="B1878" s="469" t="s">
        <v>2200</v>
      </c>
      <c r="C1878" s="476" t="s">
        <v>2942</v>
      </c>
      <c r="D1878" s="511" t="s">
        <v>2773</v>
      </c>
      <c r="E1878" s="465" t="s">
        <v>2774</v>
      </c>
      <c r="F1878" s="510" t="s">
        <v>2755</v>
      </c>
      <c r="G1878" s="518" t="s">
        <v>6770</v>
      </c>
      <c r="H1878" s="477">
        <v>45260</v>
      </c>
      <c r="I1878" s="473">
        <f t="shared" si="74"/>
        <v>1833380.1801801801</v>
      </c>
      <c r="J1878" s="473">
        <f t="shared" si="75"/>
        <v>201671.81981981982</v>
      </c>
      <c r="K1878" s="474">
        <v>2035052</v>
      </c>
      <c r="L1878" s="475"/>
    </row>
    <row r="1879" spans="1:12" s="521" customFormat="1" x14ac:dyDescent="0.2">
      <c r="A1879" s="517">
        <v>43</v>
      </c>
      <c r="B1879" s="485" t="s">
        <v>2201</v>
      </c>
      <c r="C1879" s="476" t="s">
        <v>7256</v>
      </c>
      <c r="D1879" s="464" t="s">
        <v>2783</v>
      </c>
      <c r="E1879" s="465" t="s">
        <v>2784</v>
      </c>
      <c r="F1879" s="466" t="s">
        <v>2785</v>
      </c>
      <c r="G1879" s="518" t="s">
        <v>6771</v>
      </c>
      <c r="H1879" s="477">
        <v>45260</v>
      </c>
      <c r="I1879" s="488">
        <f t="shared" si="74"/>
        <v>15634594.594594594</v>
      </c>
      <c r="J1879" s="488">
        <f t="shared" si="75"/>
        <v>1719805.4054054054</v>
      </c>
      <c r="K1879" s="474">
        <v>17354400</v>
      </c>
      <c r="L1879" s="475"/>
    </row>
    <row r="1880" spans="1:12" s="521" customFormat="1" x14ac:dyDescent="0.2">
      <c r="A1880" s="517">
        <v>59</v>
      </c>
      <c r="B1880" s="485" t="s">
        <v>2217</v>
      </c>
      <c r="C1880" s="476" t="s">
        <v>7284</v>
      </c>
      <c r="D1880" s="464" t="s">
        <v>2806</v>
      </c>
      <c r="E1880" s="465" t="s">
        <v>2807</v>
      </c>
      <c r="F1880" s="466" t="s">
        <v>2808</v>
      </c>
      <c r="G1880" s="518" t="s">
        <v>7353</v>
      </c>
      <c r="H1880" s="477">
        <v>45237</v>
      </c>
      <c r="I1880" s="488">
        <f t="shared" ref="I1880" si="76">K1880/1.11</f>
        <v>4058108.1081081079</v>
      </c>
      <c r="J1880" s="488">
        <f t="shared" ref="J1880" si="77">I1880*11%</f>
        <v>446391.89189189189</v>
      </c>
      <c r="K1880" s="474">
        <v>4504500</v>
      </c>
      <c r="L1880" s="475"/>
    </row>
    <row r="1881" spans="1:12" s="824" customFormat="1" x14ac:dyDescent="0.2">
      <c r="A1881" s="821">
        <v>44</v>
      </c>
      <c r="B1881" s="822" t="s">
        <v>2202</v>
      </c>
      <c r="C1881" s="476" t="s">
        <v>7297</v>
      </c>
      <c r="D1881" s="725"/>
      <c r="E1881" s="708" t="s">
        <v>2907</v>
      </c>
      <c r="F1881" s="727" t="s">
        <v>2908</v>
      </c>
      <c r="G1881" s="786"/>
      <c r="H1881" s="823">
        <v>45231</v>
      </c>
      <c r="I1881" s="473">
        <f t="shared" ref="I1881:I1912" si="78">K1881/1.11</f>
        <v>10738345.045045044</v>
      </c>
      <c r="J1881" s="473">
        <f t="shared" ref="J1881:J1912" si="79">I1881*11%</f>
        <v>1181217.9549549548</v>
      </c>
      <c r="K1881" s="474">
        <f>4627313+6063750+1228500</f>
        <v>11919563</v>
      </c>
      <c r="L1881" s="475"/>
    </row>
    <row r="1882" spans="1:12" s="824" customFormat="1" x14ac:dyDescent="0.2">
      <c r="A1882" s="821">
        <v>45</v>
      </c>
      <c r="B1882" s="785" t="s">
        <v>2203</v>
      </c>
      <c r="C1882" s="476" t="s">
        <v>7298</v>
      </c>
      <c r="D1882" s="725"/>
      <c r="E1882" s="708" t="s">
        <v>2956</v>
      </c>
      <c r="F1882" s="727" t="s">
        <v>2755</v>
      </c>
      <c r="G1882" s="786"/>
      <c r="H1882" s="823">
        <v>45231</v>
      </c>
      <c r="I1882" s="488">
        <f t="shared" si="78"/>
        <v>3338198.1981981979</v>
      </c>
      <c r="J1882" s="488">
        <f t="shared" si="79"/>
        <v>367201.80180180178</v>
      </c>
      <c r="K1882" s="474">
        <f>868600+1994400+842400</f>
        <v>3705400</v>
      </c>
      <c r="L1882" s="475"/>
    </row>
    <row r="1883" spans="1:12" s="824" customFormat="1" x14ac:dyDescent="0.2">
      <c r="A1883" s="821">
        <v>46</v>
      </c>
      <c r="B1883" s="469" t="s">
        <v>2205</v>
      </c>
      <c r="C1883" s="476" t="s">
        <v>7408</v>
      </c>
      <c r="D1883" s="464"/>
      <c r="E1883" s="465" t="s">
        <v>3129</v>
      </c>
      <c r="F1883" s="466" t="s">
        <v>3108</v>
      </c>
      <c r="G1883" s="518"/>
      <c r="H1883" s="477">
        <v>45231</v>
      </c>
      <c r="I1883" s="473">
        <f t="shared" si="78"/>
        <v>1590810.8108108107</v>
      </c>
      <c r="J1883" s="473">
        <f t="shared" si="79"/>
        <v>174989.18918918917</v>
      </c>
      <c r="K1883" s="474">
        <f>1360800+405000</f>
        <v>1765800</v>
      </c>
      <c r="L1883" s="475"/>
    </row>
    <row r="1884" spans="1:12" s="521" customFormat="1" x14ac:dyDescent="0.2">
      <c r="A1884" s="517">
        <v>47</v>
      </c>
      <c r="B1884" s="485" t="s">
        <v>2206</v>
      </c>
      <c r="C1884" s="476" t="s">
        <v>7354</v>
      </c>
      <c r="D1884" s="464"/>
      <c r="E1884" s="465" t="s">
        <v>3146</v>
      </c>
      <c r="F1884" s="466" t="s">
        <v>3147</v>
      </c>
      <c r="G1884" s="518"/>
      <c r="H1884" s="477">
        <v>45231</v>
      </c>
      <c r="I1884" s="488">
        <f t="shared" si="78"/>
        <v>2868567.5675675673</v>
      </c>
      <c r="J1884" s="488">
        <f t="shared" si="79"/>
        <v>315542.43243243243</v>
      </c>
      <c r="K1884" s="474">
        <f>1452510+1731600</f>
        <v>3184110</v>
      </c>
      <c r="L1884" s="475"/>
    </row>
    <row r="1885" spans="1:12" x14ac:dyDescent="0.2">
      <c r="A1885" s="305">
        <v>48</v>
      </c>
      <c r="B1885" s="469" t="s">
        <v>2281</v>
      </c>
      <c r="C1885" s="476" t="s">
        <v>7465</v>
      </c>
      <c r="D1885" s="464"/>
      <c r="E1885" s="465" t="s">
        <v>3612</v>
      </c>
      <c r="F1885" s="466" t="s">
        <v>3609</v>
      </c>
      <c r="G1885" s="518"/>
      <c r="H1885" s="477">
        <v>45231</v>
      </c>
      <c r="I1885" s="473">
        <f t="shared" si="78"/>
        <v>40591896.396396391</v>
      </c>
      <c r="J1885" s="473">
        <f t="shared" si="79"/>
        <v>4465108.6036036033</v>
      </c>
      <c r="K1885" s="474">
        <v>45057005</v>
      </c>
      <c r="L1885" s="475"/>
    </row>
    <row r="1886" spans="1:12" s="824" customFormat="1" x14ac:dyDescent="0.2">
      <c r="A1886" s="821">
        <v>49</v>
      </c>
      <c r="B1886" s="485" t="s">
        <v>2341</v>
      </c>
      <c r="C1886" s="476" t="s">
        <v>7439</v>
      </c>
      <c r="D1886" s="464"/>
      <c r="E1886" s="465" t="s">
        <v>3612</v>
      </c>
      <c r="F1886" s="466" t="s">
        <v>2886</v>
      </c>
      <c r="G1886" s="464"/>
      <c r="H1886" s="477">
        <v>45231</v>
      </c>
      <c r="I1886" s="488">
        <f t="shared" si="78"/>
        <v>40591895.495495491</v>
      </c>
      <c r="J1886" s="488">
        <f t="shared" si="79"/>
        <v>4465108.5045045037</v>
      </c>
      <c r="K1886" s="474">
        <f>45057004</f>
        <v>45057004</v>
      </c>
      <c r="L1886" s="475"/>
    </row>
    <row r="1887" spans="1:12" x14ac:dyDescent="0.2">
      <c r="A1887" s="305">
        <v>50</v>
      </c>
      <c r="B1887" s="822" t="s">
        <v>2207</v>
      </c>
      <c r="C1887" s="476" t="s">
        <v>7296</v>
      </c>
      <c r="D1887" s="725"/>
      <c r="E1887" s="708" t="s">
        <v>3085</v>
      </c>
      <c r="F1887" s="727" t="s">
        <v>2982</v>
      </c>
      <c r="G1887" s="786"/>
      <c r="H1887" s="823">
        <v>45232</v>
      </c>
      <c r="I1887" s="473">
        <f t="shared" si="78"/>
        <v>4863162.1621621614</v>
      </c>
      <c r="J1887" s="473">
        <f t="shared" si="79"/>
        <v>534947.83783783775</v>
      </c>
      <c r="K1887" s="474">
        <f>2964060+432000+2002050</f>
        <v>5398110</v>
      </c>
      <c r="L1887" s="475"/>
    </row>
    <row r="1888" spans="1:12" x14ac:dyDescent="0.2">
      <c r="A1888" s="305">
        <v>51</v>
      </c>
      <c r="B1888" s="485" t="s">
        <v>2208</v>
      </c>
      <c r="C1888" s="476" t="s">
        <v>7277</v>
      </c>
      <c r="D1888" s="464"/>
      <c r="E1888" s="465" t="s">
        <v>7278</v>
      </c>
      <c r="F1888" s="466" t="s">
        <v>2890</v>
      </c>
      <c r="G1888" s="518"/>
      <c r="H1888" s="477">
        <v>45232</v>
      </c>
      <c r="I1888" s="488">
        <f t="shared" si="78"/>
        <v>3967567.5675675673</v>
      </c>
      <c r="J1888" s="488">
        <f t="shared" si="79"/>
        <v>436432.43243243243</v>
      </c>
      <c r="K1888" s="474">
        <v>4404000</v>
      </c>
      <c r="L1888" s="475"/>
    </row>
    <row r="1889" spans="1:12" x14ac:dyDescent="0.2">
      <c r="A1889" s="305">
        <v>52</v>
      </c>
      <c r="B1889" s="469" t="s">
        <v>2210</v>
      </c>
      <c r="C1889" s="476" t="s">
        <v>7280</v>
      </c>
      <c r="D1889" s="464"/>
      <c r="E1889" s="465" t="s">
        <v>2962</v>
      </c>
      <c r="F1889" s="466" t="s">
        <v>2908</v>
      </c>
      <c r="G1889" s="518"/>
      <c r="H1889" s="477">
        <v>45232</v>
      </c>
      <c r="I1889" s="473">
        <f t="shared" si="78"/>
        <v>4427027.0270270268</v>
      </c>
      <c r="J1889" s="473">
        <f t="shared" si="79"/>
        <v>486972.97297297296</v>
      </c>
      <c r="K1889" s="474">
        <v>4914000</v>
      </c>
      <c r="L1889" s="475"/>
    </row>
    <row r="1890" spans="1:12" x14ac:dyDescent="0.2">
      <c r="A1890" s="305">
        <v>53</v>
      </c>
      <c r="B1890" s="485" t="s">
        <v>2211</v>
      </c>
      <c r="C1890" s="476" t="s">
        <v>7395</v>
      </c>
      <c r="D1890" s="464"/>
      <c r="E1890" s="471" t="s">
        <v>2914</v>
      </c>
      <c r="F1890" s="471" t="s">
        <v>2915</v>
      </c>
      <c r="G1890" s="518"/>
      <c r="H1890" s="472">
        <v>45232</v>
      </c>
      <c r="I1890" s="488">
        <f t="shared" si="78"/>
        <v>6574405.405405405</v>
      </c>
      <c r="J1890" s="488">
        <f t="shared" si="79"/>
        <v>723184.59459459456</v>
      </c>
      <c r="K1890" s="474">
        <f>1150200+3651840+2495550</f>
        <v>7297590</v>
      </c>
      <c r="L1890" s="475"/>
    </row>
    <row r="1891" spans="1:12" x14ac:dyDescent="0.2">
      <c r="A1891" s="305">
        <v>54</v>
      </c>
      <c r="B1891" s="822" t="s">
        <v>2214</v>
      </c>
      <c r="C1891" s="476" t="s">
        <v>7399</v>
      </c>
      <c r="D1891" s="725"/>
      <c r="E1891" s="825" t="s">
        <v>2945</v>
      </c>
      <c r="F1891" s="727" t="s">
        <v>2946</v>
      </c>
      <c r="G1891" s="786"/>
      <c r="H1891" s="823">
        <v>45232</v>
      </c>
      <c r="I1891" s="473">
        <f t="shared" si="78"/>
        <v>6468378.3783783782</v>
      </c>
      <c r="J1891" s="473">
        <f t="shared" si="79"/>
        <v>711521.62162162166</v>
      </c>
      <c r="K1891" s="474">
        <f>2942450+1682100+2555350</f>
        <v>7179900</v>
      </c>
      <c r="L1891" s="475"/>
    </row>
    <row r="1892" spans="1:12" x14ac:dyDescent="0.2">
      <c r="A1892" s="305">
        <v>55</v>
      </c>
      <c r="B1892" s="485" t="s">
        <v>2215</v>
      </c>
      <c r="C1892" s="476" t="s">
        <v>7282</v>
      </c>
      <c r="D1892" s="464"/>
      <c r="E1892" s="465" t="s">
        <v>3003</v>
      </c>
      <c r="F1892" s="466" t="s">
        <v>3108</v>
      </c>
      <c r="G1892" s="518"/>
      <c r="H1892" s="477">
        <v>45232</v>
      </c>
      <c r="I1892" s="488">
        <f t="shared" si="78"/>
        <v>2349729.7297297297</v>
      </c>
      <c r="J1892" s="488">
        <f t="shared" si="79"/>
        <v>258470.27027027027</v>
      </c>
      <c r="K1892" s="474">
        <v>2608200</v>
      </c>
      <c r="L1892" s="475"/>
    </row>
    <row r="1893" spans="1:12" s="824" customFormat="1" x14ac:dyDescent="0.2">
      <c r="A1893" s="821">
        <v>56</v>
      </c>
      <c r="B1893" s="822" t="s">
        <v>2216</v>
      </c>
      <c r="C1893" s="476" t="s">
        <v>7326</v>
      </c>
      <c r="D1893" s="725"/>
      <c r="E1893" s="708" t="s">
        <v>7283</v>
      </c>
      <c r="F1893" s="727" t="s">
        <v>2935</v>
      </c>
      <c r="G1893" s="786"/>
      <c r="H1893" s="823">
        <v>45232</v>
      </c>
      <c r="I1893" s="473">
        <f t="shared" si="78"/>
        <v>14452072.07207207</v>
      </c>
      <c r="J1893" s="473">
        <f t="shared" si="79"/>
        <v>1589727.9279279278</v>
      </c>
      <c r="K1893" s="474">
        <f>4888800+9828000+1325000</f>
        <v>16041800</v>
      </c>
      <c r="L1893" s="475"/>
    </row>
    <row r="1894" spans="1:12" x14ac:dyDescent="0.2">
      <c r="A1894" s="305">
        <v>57</v>
      </c>
      <c r="B1894" s="785" t="s">
        <v>2204</v>
      </c>
      <c r="C1894" s="476" t="s">
        <v>7332</v>
      </c>
      <c r="D1894" s="725"/>
      <c r="E1894" s="708" t="s">
        <v>2887</v>
      </c>
      <c r="F1894" s="727" t="s">
        <v>2888</v>
      </c>
      <c r="G1894" s="786"/>
      <c r="H1894" s="823">
        <v>45233</v>
      </c>
      <c r="I1894" s="488">
        <f t="shared" si="78"/>
        <v>9433918.9189189188</v>
      </c>
      <c r="J1894" s="488">
        <f t="shared" si="79"/>
        <v>1037731.0810810811</v>
      </c>
      <c r="K1894" s="474">
        <f>420000+5733000+4318650</f>
        <v>10471650</v>
      </c>
      <c r="L1894" s="475"/>
    </row>
    <row r="1895" spans="1:12" s="824" customFormat="1" x14ac:dyDescent="0.2">
      <c r="A1895" s="821">
        <v>58</v>
      </c>
      <c r="B1895" s="469" t="s">
        <v>2218</v>
      </c>
      <c r="C1895" s="476" t="s">
        <v>5001</v>
      </c>
      <c r="D1895" s="464"/>
      <c r="E1895" s="465" t="s">
        <v>3164</v>
      </c>
      <c r="F1895" s="466" t="s">
        <v>2928</v>
      </c>
      <c r="G1895" s="518"/>
      <c r="H1895" s="477">
        <v>45233</v>
      </c>
      <c r="I1895" s="473">
        <f t="shared" si="78"/>
        <v>1829189.1891891891</v>
      </c>
      <c r="J1895" s="473">
        <f t="shared" si="79"/>
        <v>201210.8108108108</v>
      </c>
      <c r="K1895" s="474">
        <v>2030400</v>
      </c>
      <c r="L1895" s="475"/>
    </row>
    <row r="1896" spans="1:12" x14ac:dyDescent="0.2">
      <c r="A1896" s="305">
        <v>60</v>
      </c>
      <c r="B1896" s="822" t="s">
        <v>2219</v>
      </c>
      <c r="C1896" s="476" t="s">
        <v>7355</v>
      </c>
      <c r="D1896" s="725"/>
      <c r="E1896" s="708" t="s">
        <v>2927</v>
      </c>
      <c r="F1896" s="727" t="s">
        <v>2928</v>
      </c>
      <c r="G1896" s="786"/>
      <c r="H1896" s="823">
        <v>45233</v>
      </c>
      <c r="I1896" s="473">
        <f t="shared" si="78"/>
        <v>4327783.7837837832</v>
      </c>
      <c r="J1896" s="473">
        <f t="shared" si="79"/>
        <v>476056.21621621615</v>
      </c>
      <c r="K1896" s="474">
        <f>1134000+2805840+864000</f>
        <v>4803840</v>
      </c>
      <c r="L1896" s="475"/>
    </row>
    <row r="1897" spans="1:12" s="824" customFormat="1" x14ac:dyDescent="0.2">
      <c r="A1897" s="821">
        <v>61</v>
      </c>
      <c r="B1897" s="485" t="s">
        <v>2220</v>
      </c>
      <c r="C1897" s="476" t="s">
        <v>7285</v>
      </c>
      <c r="D1897" s="464"/>
      <c r="E1897" s="465" t="s">
        <v>3003</v>
      </c>
      <c r="F1897" s="466" t="s">
        <v>2953</v>
      </c>
      <c r="G1897" s="518"/>
      <c r="H1897" s="477">
        <v>45233</v>
      </c>
      <c r="I1897" s="488">
        <f t="shared" si="78"/>
        <v>2720495.4954954954</v>
      </c>
      <c r="J1897" s="488">
        <f t="shared" si="79"/>
        <v>299254.5045045045</v>
      </c>
      <c r="K1897" s="474">
        <f>519750+2500000</f>
        <v>3019750</v>
      </c>
      <c r="L1897" s="475"/>
    </row>
    <row r="1898" spans="1:12" x14ac:dyDescent="0.2">
      <c r="A1898" s="305">
        <v>62</v>
      </c>
      <c r="B1898" s="822" t="s">
        <v>2221</v>
      </c>
      <c r="C1898" s="476" t="s">
        <v>7299</v>
      </c>
      <c r="D1898" s="725"/>
      <c r="E1898" s="708" t="s">
        <v>2939</v>
      </c>
      <c r="F1898" s="727" t="s">
        <v>2940</v>
      </c>
      <c r="G1898" s="786"/>
      <c r="H1898" s="823">
        <v>45233</v>
      </c>
      <c r="I1898" s="473">
        <f t="shared" si="78"/>
        <v>7526070.2702702694</v>
      </c>
      <c r="J1898" s="473">
        <f t="shared" si="79"/>
        <v>827867.72972972959</v>
      </c>
      <c r="K1898" s="474">
        <f>1039500+867913+6446525</f>
        <v>8353938</v>
      </c>
      <c r="L1898" s="475"/>
    </row>
    <row r="1899" spans="1:12" s="824" customFormat="1" x14ac:dyDescent="0.2">
      <c r="A1899" s="821">
        <v>63</v>
      </c>
      <c r="B1899" s="785" t="s">
        <v>2222</v>
      </c>
      <c r="C1899" s="476" t="s">
        <v>7300</v>
      </c>
      <c r="D1899" s="725"/>
      <c r="E1899" s="708" t="s">
        <v>2898</v>
      </c>
      <c r="F1899" s="727" t="s">
        <v>2823</v>
      </c>
      <c r="G1899" s="786"/>
      <c r="H1899" s="823">
        <v>45233</v>
      </c>
      <c r="I1899" s="488">
        <f t="shared" si="78"/>
        <v>31222162.162162159</v>
      </c>
      <c r="J1899" s="488">
        <f t="shared" si="79"/>
        <v>3434437.8378378376</v>
      </c>
      <c r="K1899" s="474">
        <f>3402000+19364750+11889850</f>
        <v>34656600</v>
      </c>
      <c r="L1899" s="475"/>
    </row>
    <row r="1900" spans="1:12" s="824" customFormat="1" x14ac:dyDescent="0.2">
      <c r="A1900" s="821">
        <v>64</v>
      </c>
      <c r="B1900" s="822" t="s">
        <v>2223</v>
      </c>
      <c r="C1900" s="476" t="s">
        <v>7374</v>
      </c>
      <c r="D1900" s="725"/>
      <c r="E1900" s="708" t="s">
        <v>2929</v>
      </c>
      <c r="F1900" s="727" t="s">
        <v>2886</v>
      </c>
      <c r="G1900" s="786"/>
      <c r="H1900" s="823">
        <v>45234</v>
      </c>
      <c r="I1900" s="473">
        <f t="shared" si="78"/>
        <v>4964504.5045045037</v>
      </c>
      <c r="J1900" s="473">
        <f t="shared" si="79"/>
        <v>546095.49549549539</v>
      </c>
      <c r="K1900" s="474">
        <f>880020+4524740+105840</f>
        <v>5510600</v>
      </c>
      <c r="L1900" s="475"/>
    </row>
    <row r="1901" spans="1:12" s="824" customFormat="1" x14ac:dyDescent="0.2">
      <c r="A1901" s="821">
        <v>65</v>
      </c>
      <c r="B1901" s="485" t="s">
        <v>2224</v>
      </c>
      <c r="C1901" s="476" t="s">
        <v>7398</v>
      </c>
      <c r="D1901" s="464"/>
      <c r="E1901" s="465" t="s">
        <v>2895</v>
      </c>
      <c r="F1901" s="466" t="s">
        <v>2890</v>
      </c>
      <c r="G1901" s="518"/>
      <c r="H1901" s="477">
        <v>45234</v>
      </c>
      <c r="I1901" s="488">
        <f t="shared" si="78"/>
        <v>7500459.4594594585</v>
      </c>
      <c r="J1901" s="488">
        <f t="shared" si="79"/>
        <v>825050.54054054047</v>
      </c>
      <c r="K1901" s="474">
        <f>3870990+1921320+2533200</f>
        <v>8325510</v>
      </c>
      <c r="L1901" s="475"/>
    </row>
    <row r="1902" spans="1:12" x14ac:dyDescent="0.2">
      <c r="A1902" s="305">
        <v>66</v>
      </c>
      <c r="B1902" s="469" t="s">
        <v>2226</v>
      </c>
      <c r="C1902" s="476" t="s">
        <v>7286</v>
      </c>
      <c r="D1902" s="464"/>
      <c r="E1902" s="465" t="s">
        <v>2995</v>
      </c>
      <c r="F1902" s="466" t="s">
        <v>2940</v>
      </c>
      <c r="G1902" s="518"/>
      <c r="H1902" s="477">
        <v>45234</v>
      </c>
      <c r="I1902" s="473">
        <f t="shared" si="78"/>
        <v>1881981.9819819818</v>
      </c>
      <c r="J1902" s="473">
        <f t="shared" si="79"/>
        <v>207018.01801801799</v>
      </c>
      <c r="K1902" s="474">
        <f>1089000+1000000</f>
        <v>2089000</v>
      </c>
      <c r="L1902" s="475"/>
    </row>
    <row r="1903" spans="1:12" s="824" customFormat="1" x14ac:dyDescent="0.2">
      <c r="A1903" s="821">
        <v>67</v>
      </c>
      <c r="B1903" s="485" t="s">
        <v>2307</v>
      </c>
      <c r="C1903" s="820" t="s">
        <v>7362</v>
      </c>
      <c r="D1903" s="464"/>
      <c r="E1903" s="465" t="s">
        <v>3612</v>
      </c>
      <c r="F1903" s="466" t="s">
        <v>3609</v>
      </c>
      <c r="G1903" s="464"/>
      <c r="H1903" s="477">
        <v>45234</v>
      </c>
      <c r="I1903" s="488">
        <f t="shared" si="78"/>
        <v>45081081.081081077</v>
      </c>
      <c r="J1903" s="488">
        <f t="shared" si="79"/>
        <v>4958918.9189189188</v>
      </c>
      <c r="K1903" s="474">
        <f>25000+15000+50000000</f>
        <v>50040000</v>
      </c>
      <c r="L1903" s="475"/>
    </row>
    <row r="1904" spans="1:12" x14ac:dyDescent="0.2">
      <c r="A1904" s="305">
        <v>68</v>
      </c>
      <c r="B1904" s="822" t="s">
        <v>2337</v>
      </c>
      <c r="C1904" s="476" t="s">
        <v>7412</v>
      </c>
      <c r="D1904" s="725"/>
      <c r="E1904" s="708" t="s">
        <v>7411</v>
      </c>
      <c r="F1904" s="727" t="s">
        <v>2994</v>
      </c>
      <c r="G1904" s="725"/>
      <c r="H1904" s="823">
        <v>45234</v>
      </c>
      <c r="I1904" s="473">
        <f t="shared" si="78"/>
        <v>17258828.828828827</v>
      </c>
      <c r="J1904" s="473">
        <f t="shared" si="79"/>
        <v>1898471.1711711709</v>
      </c>
      <c r="K1904" s="832">
        <f>1764500+939000+2849500+280000+2509000+2803300+4860000+2825000+90000+237000</f>
        <v>19157300</v>
      </c>
      <c r="L1904" s="475"/>
    </row>
    <row r="1905" spans="1:12" x14ac:dyDescent="0.2">
      <c r="A1905" s="305">
        <v>69</v>
      </c>
      <c r="B1905" s="485" t="s">
        <v>2342</v>
      </c>
      <c r="C1905" s="476" t="s">
        <v>7438</v>
      </c>
      <c r="D1905" s="464"/>
      <c r="E1905" s="465" t="s">
        <v>3612</v>
      </c>
      <c r="F1905" s="466" t="s">
        <v>2828</v>
      </c>
      <c r="G1905" s="464"/>
      <c r="H1905" s="477">
        <v>45234</v>
      </c>
      <c r="I1905" s="488">
        <f t="shared" si="78"/>
        <v>40591895.495495491</v>
      </c>
      <c r="J1905" s="488">
        <f t="shared" si="79"/>
        <v>4465108.5045045037</v>
      </c>
      <c r="K1905" s="474">
        <f>45057004</f>
        <v>45057004</v>
      </c>
      <c r="L1905" s="475"/>
    </row>
    <row r="1906" spans="1:12" x14ac:dyDescent="0.2">
      <c r="A1906" s="305">
        <v>70</v>
      </c>
      <c r="B1906" s="469" t="s">
        <v>2209</v>
      </c>
      <c r="C1906" s="476" t="s">
        <v>7279</v>
      </c>
      <c r="D1906" s="464"/>
      <c r="E1906" s="465" t="s">
        <v>3517</v>
      </c>
      <c r="F1906" s="466" t="s">
        <v>2912</v>
      </c>
      <c r="G1906" s="518"/>
      <c r="H1906" s="477">
        <v>45236</v>
      </c>
      <c r="I1906" s="473">
        <f t="shared" si="78"/>
        <v>4427027.0270270268</v>
      </c>
      <c r="J1906" s="473">
        <f t="shared" si="79"/>
        <v>486972.97297297296</v>
      </c>
      <c r="K1906" s="474">
        <v>4914000</v>
      </c>
      <c r="L1906" s="475"/>
    </row>
    <row r="1907" spans="1:12" x14ac:dyDescent="0.2">
      <c r="A1907" s="305">
        <v>71</v>
      </c>
      <c r="B1907" s="485" t="s">
        <v>2212</v>
      </c>
      <c r="C1907" s="476" t="s">
        <v>7290</v>
      </c>
      <c r="D1907" s="464"/>
      <c r="E1907" s="465" t="s">
        <v>3520</v>
      </c>
      <c r="F1907" s="466" t="s">
        <v>2858</v>
      </c>
      <c r="G1907" s="518"/>
      <c r="H1907" s="477">
        <v>45236</v>
      </c>
      <c r="I1907" s="488">
        <f t="shared" si="78"/>
        <v>1644324.3243243243</v>
      </c>
      <c r="J1907" s="488">
        <f t="shared" si="79"/>
        <v>180875.67567567568</v>
      </c>
      <c r="K1907" s="474">
        <f>1676700+148500</f>
        <v>1825200</v>
      </c>
      <c r="L1907" s="475"/>
    </row>
    <row r="1908" spans="1:12" x14ac:dyDescent="0.2">
      <c r="A1908" s="305">
        <v>72</v>
      </c>
      <c r="B1908" s="469" t="s">
        <v>2213</v>
      </c>
      <c r="C1908" s="476" t="s">
        <v>7281</v>
      </c>
      <c r="D1908" s="464"/>
      <c r="E1908" s="465" t="s">
        <v>3596</v>
      </c>
      <c r="F1908" s="466" t="s">
        <v>2912</v>
      </c>
      <c r="G1908" s="518"/>
      <c r="H1908" s="477">
        <v>45236</v>
      </c>
      <c r="I1908" s="473">
        <f t="shared" si="78"/>
        <v>2669819.8198198196</v>
      </c>
      <c r="J1908" s="473">
        <f t="shared" si="79"/>
        <v>293680.18018018018</v>
      </c>
      <c r="K1908" s="474">
        <f>1963500+1000000</f>
        <v>2963500</v>
      </c>
      <c r="L1908" s="475"/>
    </row>
    <row r="1909" spans="1:12" x14ac:dyDescent="0.2">
      <c r="A1909" s="305">
        <v>73</v>
      </c>
      <c r="B1909" s="785" t="s">
        <v>2225</v>
      </c>
      <c r="C1909" s="476" t="s">
        <v>7328</v>
      </c>
      <c r="D1909" s="725"/>
      <c r="E1909" s="708" t="s">
        <v>2936</v>
      </c>
      <c r="F1909" s="727" t="s">
        <v>2922</v>
      </c>
      <c r="G1909" s="786"/>
      <c r="H1909" s="823">
        <v>45236</v>
      </c>
      <c r="I1909" s="488">
        <f t="shared" si="78"/>
        <v>2811810.8108108104</v>
      </c>
      <c r="J1909" s="488">
        <f t="shared" si="79"/>
        <v>309299.18918918917</v>
      </c>
      <c r="K1909" s="474">
        <f>2328360+388500+404250</f>
        <v>3121110</v>
      </c>
      <c r="L1909" s="475"/>
    </row>
    <row r="1910" spans="1:12" x14ac:dyDescent="0.2">
      <c r="A1910" s="305">
        <v>74</v>
      </c>
      <c r="B1910" s="469" t="s">
        <v>2227</v>
      </c>
      <c r="C1910" s="476" t="s">
        <v>7287</v>
      </c>
      <c r="D1910" s="464"/>
      <c r="E1910" s="465" t="s">
        <v>2995</v>
      </c>
      <c r="F1910" s="466" t="s">
        <v>2755</v>
      </c>
      <c r="G1910" s="518"/>
      <c r="H1910" s="477">
        <v>45236</v>
      </c>
      <c r="I1910" s="473">
        <f t="shared" si="78"/>
        <v>2883103.6036036033</v>
      </c>
      <c r="J1910" s="473">
        <f t="shared" si="79"/>
        <v>317141.39639639639</v>
      </c>
      <c r="K1910" s="474">
        <f>700245+2500000</f>
        <v>3200245</v>
      </c>
      <c r="L1910" s="475"/>
    </row>
    <row r="1911" spans="1:12" x14ac:dyDescent="0.2">
      <c r="A1911" s="305">
        <v>75</v>
      </c>
      <c r="B1911" s="485" t="s">
        <v>2228</v>
      </c>
      <c r="C1911" s="476" t="s">
        <v>7331</v>
      </c>
      <c r="D1911" s="464"/>
      <c r="E1911" s="465" t="s">
        <v>3029</v>
      </c>
      <c r="F1911" s="466" t="s">
        <v>3025</v>
      </c>
      <c r="G1911" s="518"/>
      <c r="H1911" s="477">
        <v>45236</v>
      </c>
      <c r="I1911" s="488">
        <f t="shared" si="78"/>
        <v>3810810.8108108104</v>
      </c>
      <c r="J1911" s="488">
        <f t="shared" si="79"/>
        <v>419189.18918918917</v>
      </c>
      <c r="K1911" s="474">
        <f>1710000+2520000</f>
        <v>4230000</v>
      </c>
      <c r="L1911" s="475"/>
    </row>
    <row r="1912" spans="1:12" s="824" customFormat="1" x14ac:dyDescent="0.2">
      <c r="A1912" s="821">
        <v>76</v>
      </c>
      <c r="B1912" s="469" t="s">
        <v>2229</v>
      </c>
      <c r="C1912" s="476" t="s">
        <v>7431</v>
      </c>
      <c r="D1912" s="464"/>
      <c r="E1912" s="465" t="s">
        <v>2913</v>
      </c>
      <c r="F1912" s="466" t="s">
        <v>2879</v>
      </c>
      <c r="G1912" s="518"/>
      <c r="H1912" s="477">
        <v>45236</v>
      </c>
      <c r="I1912" s="473">
        <f t="shared" si="78"/>
        <v>2850630.6306306305</v>
      </c>
      <c r="J1912" s="473">
        <f t="shared" si="79"/>
        <v>313569.36936936935</v>
      </c>
      <c r="K1912" s="474">
        <f>664200+2500000</f>
        <v>3164200</v>
      </c>
      <c r="L1912" s="475"/>
    </row>
    <row r="1913" spans="1:12" x14ac:dyDescent="0.2">
      <c r="A1913" s="305">
        <v>77</v>
      </c>
      <c r="B1913" s="485" t="s">
        <v>2230</v>
      </c>
      <c r="C1913" s="476" t="s">
        <v>7410</v>
      </c>
      <c r="D1913" s="464"/>
      <c r="E1913" s="465" t="s">
        <v>2974</v>
      </c>
      <c r="F1913" s="466" t="s">
        <v>2755</v>
      </c>
      <c r="G1913" s="518"/>
      <c r="H1913" s="477">
        <v>45236</v>
      </c>
      <c r="I1913" s="488">
        <f t="shared" ref="I1913:I1944" si="80">K1913/1.11</f>
        <v>5514414.4144144142</v>
      </c>
      <c r="J1913" s="488">
        <f t="shared" ref="J1913:J1944" si="81">I1913*11%</f>
        <v>606585.58558558556</v>
      </c>
      <c r="K1913" s="474">
        <f>2325000+3796000</f>
        <v>6121000</v>
      </c>
      <c r="L1913" s="475"/>
    </row>
    <row r="1914" spans="1:12" x14ac:dyDescent="0.2">
      <c r="A1914" s="305">
        <v>78</v>
      </c>
      <c r="B1914" s="822" t="s">
        <v>2246</v>
      </c>
      <c r="C1914" s="476" t="s">
        <v>7341</v>
      </c>
      <c r="D1914" s="725"/>
      <c r="E1914" s="708" t="s">
        <v>2961</v>
      </c>
      <c r="F1914" s="727" t="s">
        <v>2953</v>
      </c>
      <c r="G1914" s="786"/>
      <c r="H1914" s="823">
        <v>45236</v>
      </c>
      <c r="I1914" s="473">
        <f t="shared" si="80"/>
        <v>9866216.2162162159</v>
      </c>
      <c r="J1914" s="473">
        <f t="shared" si="81"/>
        <v>1085283.7837837837</v>
      </c>
      <c r="K1914" s="474">
        <f>8190000+1627500+1134000</f>
        <v>10951500</v>
      </c>
      <c r="L1914" s="475"/>
    </row>
    <row r="1915" spans="1:12" x14ac:dyDescent="0.2">
      <c r="A1915" s="305">
        <v>79</v>
      </c>
      <c r="B1915" s="785" t="s">
        <v>2247</v>
      </c>
      <c r="C1915" s="476" t="s">
        <v>7295</v>
      </c>
      <c r="D1915" s="725"/>
      <c r="E1915" s="708" t="s">
        <v>2981</v>
      </c>
      <c r="F1915" s="727" t="s">
        <v>2982</v>
      </c>
      <c r="G1915" s="786"/>
      <c r="H1915" s="823">
        <v>45236</v>
      </c>
      <c r="I1915" s="488">
        <f t="shared" si="80"/>
        <v>4427027.0270270268</v>
      </c>
      <c r="J1915" s="488">
        <f t="shared" si="81"/>
        <v>486972.97297297296</v>
      </c>
      <c r="K1915" s="474">
        <v>4914000</v>
      </c>
      <c r="L1915" s="475"/>
    </row>
    <row r="1916" spans="1:12" x14ac:dyDescent="0.2">
      <c r="A1916" s="305">
        <v>80</v>
      </c>
      <c r="B1916" s="469" t="s">
        <v>2231</v>
      </c>
      <c r="C1916" s="476" t="s">
        <v>7288</v>
      </c>
      <c r="D1916" s="464"/>
      <c r="E1916" s="471" t="s">
        <v>3485</v>
      </c>
      <c r="F1916" s="471" t="s">
        <v>2912</v>
      </c>
      <c r="G1916" s="518"/>
      <c r="H1916" s="472">
        <v>45237</v>
      </c>
      <c r="I1916" s="473">
        <f t="shared" si="80"/>
        <v>2567567.5675675673</v>
      </c>
      <c r="J1916" s="473">
        <f t="shared" si="81"/>
        <v>282432.43243243243</v>
      </c>
      <c r="K1916" s="474">
        <f>1850000+1000000</f>
        <v>2850000</v>
      </c>
      <c r="L1916" s="475"/>
    </row>
    <row r="1917" spans="1:12" x14ac:dyDescent="0.2">
      <c r="A1917" s="305">
        <v>81</v>
      </c>
      <c r="B1917" s="485" t="s">
        <v>2232</v>
      </c>
      <c r="C1917" s="476" t="s">
        <v>7339</v>
      </c>
      <c r="D1917" s="464"/>
      <c r="E1917" s="465" t="s">
        <v>2904</v>
      </c>
      <c r="F1917" s="466" t="s">
        <v>2905</v>
      </c>
      <c r="G1917" s="518"/>
      <c r="H1917" s="477">
        <v>45237</v>
      </c>
      <c r="I1917" s="488">
        <f t="shared" si="80"/>
        <v>1984234.2342342341</v>
      </c>
      <c r="J1917" s="488">
        <f t="shared" si="81"/>
        <v>218265.76576576574</v>
      </c>
      <c r="K1917" s="474">
        <f>645000+107500+1450000</f>
        <v>2202500</v>
      </c>
      <c r="L1917" s="475"/>
    </row>
    <row r="1918" spans="1:12" x14ac:dyDescent="0.2">
      <c r="A1918" s="305">
        <v>82</v>
      </c>
      <c r="B1918" s="469" t="s">
        <v>2233</v>
      </c>
      <c r="C1918" s="476" t="s">
        <v>7314</v>
      </c>
      <c r="D1918" s="464"/>
      <c r="E1918" s="465" t="s">
        <v>2933</v>
      </c>
      <c r="F1918" s="466" t="s">
        <v>2823</v>
      </c>
      <c r="G1918" s="518"/>
      <c r="H1918" s="477">
        <v>45237</v>
      </c>
      <c r="I1918" s="473">
        <f t="shared" si="80"/>
        <v>25881963.963963963</v>
      </c>
      <c r="J1918" s="473">
        <f t="shared" si="81"/>
        <v>2847016.036036036</v>
      </c>
      <c r="K1918" s="474">
        <f>760000+25420180+2548800</f>
        <v>28728980</v>
      </c>
      <c r="L1918" s="475"/>
    </row>
    <row r="1919" spans="1:12" x14ac:dyDescent="0.2">
      <c r="A1919" s="305">
        <v>83</v>
      </c>
      <c r="B1919" s="785" t="s">
        <v>2248</v>
      </c>
      <c r="C1919" s="476" t="s">
        <v>7335</v>
      </c>
      <c r="D1919" s="725"/>
      <c r="E1919" s="708" t="s">
        <v>3556</v>
      </c>
      <c r="F1919" s="727" t="s">
        <v>3061</v>
      </c>
      <c r="G1919" s="786"/>
      <c r="H1919" s="823">
        <v>45237</v>
      </c>
      <c r="I1919" s="488">
        <f t="shared" si="80"/>
        <v>7908108.108108107</v>
      </c>
      <c r="J1919" s="488">
        <f t="shared" si="81"/>
        <v>869891.89189189172</v>
      </c>
      <c r="K1919" s="474">
        <f>2583000+4914000+1281000</f>
        <v>8778000</v>
      </c>
      <c r="L1919" s="475"/>
    </row>
    <row r="1920" spans="1:12" s="824" customFormat="1" x14ac:dyDescent="0.2">
      <c r="A1920" s="821">
        <v>84</v>
      </c>
      <c r="B1920" s="469" t="s">
        <v>2262</v>
      </c>
      <c r="C1920" s="476" t="s">
        <v>7429</v>
      </c>
      <c r="D1920" s="464"/>
      <c r="E1920" s="465" t="s">
        <v>7304</v>
      </c>
      <c r="F1920" s="466" t="s">
        <v>3609</v>
      </c>
      <c r="G1920" s="518"/>
      <c r="H1920" s="477">
        <v>45237</v>
      </c>
      <c r="I1920" s="473">
        <f t="shared" si="80"/>
        <v>4743927.9279279271</v>
      </c>
      <c r="J1920" s="473">
        <f t="shared" si="81"/>
        <v>521832.07207207201</v>
      </c>
      <c r="K1920" s="474">
        <f>678160+2112600+2110500+364500</f>
        <v>5265760</v>
      </c>
      <c r="L1920" s="475"/>
    </row>
    <row r="1921" spans="1:12" x14ac:dyDescent="0.2">
      <c r="A1921" s="305">
        <v>85</v>
      </c>
      <c r="B1921" s="785" t="s">
        <v>2234</v>
      </c>
      <c r="C1921" s="476" t="s">
        <v>7303</v>
      </c>
      <c r="D1921" s="725"/>
      <c r="E1921" s="708" t="s">
        <v>2907</v>
      </c>
      <c r="F1921" s="727" t="s">
        <v>2858</v>
      </c>
      <c r="G1921" s="786"/>
      <c r="H1921" s="823">
        <v>45238</v>
      </c>
      <c r="I1921" s="488">
        <f t="shared" si="80"/>
        <v>34133198.198198192</v>
      </c>
      <c r="J1921" s="488">
        <f t="shared" si="81"/>
        <v>3754651.8018018012</v>
      </c>
      <c r="K1921" s="474">
        <f>10673250+4376750+22837850</f>
        <v>37887850</v>
      </c>
      <c r="L1921" s="475"/>
    </row>
    <row r="1922" spans="1:12" x14ac:dyDescent="0.2">
      <c r="A1922" s="305">
        <v>86</v>
      </c>
      <c r="B1922" s="469" t="s">
        <v>2235</v>
      </c>
      <c r="C1922" s="476" t="s">
        <v>7356</v>
      </c>
      <c r="D1922" s="464"/>
      <c r="E1922" s="465" t="s">
        <v>2881</v>
      </c>
      <c r="F1922" s="466" t="s">
        <v>2808</v>
      </c>
      <c r="G1922" s="518"/>
      <c r="H1922" s="477">
        <v>45238</v>
      </c>
      <c r="I1922" s="473">
        <f t="shared" si="80"/>
        <v>35213774.774774775</v>
      </c>
      <c r="J1922" s="473">
        <f t="shared" si="81"/>
        <v>3873515.2252252251</v>
      </c>
      <c r="K1922" s="474">
        <f>19076040+16861250+3150000</f>
        <v>39087290</v>
      </c>
      <c r="L1922" s="475"/>
    </row>
    <row r="1923" spans="1:12" x14ac:dyDescent="0.2">
      <c r="A1923" s="305">
        <v>87</v>
      </c>
      <c r="B1923" s="485" t="s">
        <v>2236</v>
      </c>
      <c r="C1923" s="476" t="s">
        <v>7464</v>
      </c>
      <c r="D1923" s="464"/>
      <c r="E1923" s="465" t="s">
        <v>3573</v>
      </c>
      <c r="F1923" s="466" t="s">
        <v>2851</v>
      </c>
      <c r="G1923" s="518"/>
      <c r="H1923" s="477">
        <v>45238</v>
      </c>
      <c r="I1923" s="488">
        <f t="shared" si="80"/>
        <v>991216.2162162161</v>
      </c>
      <c r="J1923" s="488">
        <f t="shared" si="81"/>
        <v>109033.78378378377</v>
      </c>
      <c r="K1923" s="474">
        <f>1100250</f>
        <v>1100250</v>
      </c>
      <c r="L1923" s="475"/>
    </row>
    <row r="1924" spans="1:12" s="824" customFormat="1" x14ac:dyDescent="0.2">
      <c r="A1924" s="821">
        <v>88</v>
      </c>
      <c r="B1924" s="822" t="s">
        <v>2249</v>
      </c>
      <c r="C1924" s="476" t="s">
        <v>7348</v>
      </c>
      <c r="D1924" s="725"/>
      <c r="E1924" s="708" t="s">
        <v>3112</v>
      </c>
      <c r="F1924" s="727" t="s">
        <v>2955</v>
      </c>
      <c r="G1924" s="786"/>
      <c r="H1924" s="823">
        <v>45238</v>
      </c>
      <c r="I1924" s="473">
        <f t="shared" si="80"/>
        <v>2103153.1531531531</v>
      </c>
      <c r="J1924" s="473">
        <f t="shared" si="81"/>
        <v>231346.84684684683</v>
      </c>
      <c r="K1924" s="474">
        <f>995750+1338750</f>
        <v>2334500</v>
      </c>
      <c r="L1924" s="475"/>
    </row>
    <row r="1925" spans="1:12" s="824" customFormat="1" x14ac:dyDescent="0.2">
      <c r="A1925" s="821">
        <v>89</v>
      </c>
      <c r="B1925" s="785" t="s">
        <v>2250</v>
      </c>
      <c r="C1925" s="476" t="s">
        <v>7319</v>
      </c>
      <c r="D1925" s="725"/>
      <c r="E1925" s="708" t="s">
        <v>2934</v>
      </c>
      <c r="F1925" s="727" t="s">
        <v>2935</v>
      </c>
      <c r="G1925" s="786"/>
      <c r="H1925" s="823">
        <v>45238</v>
      </c>
      <c r="I1925" s="488">
        <f t="shared" si="80"/>
        <v>9702864.8648648635</v>
      </c>
      <c r="J1925" s="488">
        <f t="shared" si="81"/>
        <v>1067315.1351351349</v>
      </c>
      <c r="K1925" s="474">
        <f>5627880+1855800+3286500</f>
        <v>10770180</v>
      </c>
      <c r="L1925" s="475"/>
    </row>
    <row r="1926" spans="1:12" s="824" customFormat="1" x14ac:dyDescent="0.2">
      <c r="A1926" s="821">
        <v>90</v>
      </c>
      <c r="B1926" s="822" t="s">
        <v>2251</v>
      </c>
      <c r="C1926" s="476" t="s">
        <v>7376</v>
      </c>
      <c r="D1926" s="725"/>
      <c r="E1926" s="708" t="s">
        <v>2916</v>
      </c>
      <c r="F1926" s="727" t="s">
        <v>2917</v>
      </c>
      <c r="G1926" s="786"/>
      <c r="H1926" s="823">
        <v>45238</v>
      </c>
      <c r="I1926" s="473">
        <f t="shared" si="80"/>
        <v>4550270.2702702703</v>
      </c>
      <c r="J1926" s="473">
        <f t="shared" si="81"/>
        <v>500529.72972972976</v>
      </c>
      <c r="K1926" s="474">
        <f>3150000+1900800</f>
        <v>5050800</v>
      </c>
      <c r="L1926" s="475"/>
    </row>
    <row r="1927" spans="1:12" s="824" customFormat="1" x14ac:dyDescent="0.2">
      <c r="A1927" s="821">
        <v>91</v>
      </c>
      <c r="B1927" s="785" t="s">
        <v>2252</v>
      </c>
      <c r="C1927" s="476" t="s">
        <v>7302</v>
      </c>
      <c r="D1927" s="725"/>
      <c r="E1927" s="708" t="s">
        <v>2937</v>
      </c>
      <c r="F1927" s="727" t="s">
        <v>2823</v>
      </c>
      <c r="G1927" s="786"/>
      <c r="H1927" s="823">
        <v>45238</v>
      </c>
      <c r="I1927" s="488">
        <f t="shared" si="80"/>
        <v>6311351.3513513505</v>
      </c>
      <c r="J1927" s="488">
        <f t="shared" si="81"/>
        <v>694248.64864864852</v>
      </c>
      <c r="K1927" s="474">
        <f>3981600+3024000</f>
        <v>7005600</v>
      </c>
      <c r="L1927" s="475"/>
    </row>
    <row r="1928" spans="1:12" s="824" customFormat="1" x14ac:dyDescent="0.2">
      <c r="A1928" s="821">
        <v>92</v>
      </c>
      <c r="B1928" s="469" t="s">
        <v>2343</v>
      </c>
      <c r="C1928" s="476" t="s">
        <v>7437</v>
      </c>
      <c r="D1928" s="464"/>
      <c r="E1928" s="465" t="s">
        <v>3612</v>
      </c>
      <c r="F1928" s="466" t="s">
        <v>2955</v>
      </c>
      <c r="G1928" s="464"/>
      <c r="H1928" s="477">
        <v>45238</v>
      </c>
      <c r="I1928" s="473">
        <f t="shared" si="80"/>
        <v>40591895.495495491</v>
      </c>
      <c r="J1928" s="473">
        <f t="shared" si="81"/>
        <v>4465108.5045045037</v>
      </c>
      <c r="K1928" s="474">
        <f>45057004</f>
        <v>45057004</v>
      </c>
      <c r="L1928" s="475"/>
    </row>
    <row r="1929" spans="1:12" s="824" customFormat="1" x14ac:dyDescent="0.2">
      <c r="A1929" s="821">
        <v>93</v>
      </c>
      <c r="B1929" s="485" t="s">
        <v>2237</v>
      </c>
      <c r="C1929" s="476" t="s">
        <v>7327</v>
      </c>
      <c r="D1929" s="464"/>
      <c r="E1929" s="465" t="s">
        <v>3538</v>
      </c>
      <c r="F1929" s="466" t="s">
        <v>2890</v>
      </c>
      <c r="G1929" s="518"/>
      <c r="H1929" s="477">
        <v>45239</v>
      </c>
      <c r="I1929" s="488">
        <f t="shared" si="80"/>
        <v>3736373.8738738736</v>
      </c>
      <c r="J1929" s="488">
        <f t="shared" si="81"/>
        <v>411001.1261261261</v>
      </c>
      <c r="K1929" s="474">
        <f>809375+1728000+1610000</f>
        <v>4147375</v>
      </c>
      <c r="L1929" s="475"/>
    </row>
    <row r="1930" spans="1:12" s="824" customFormat="1" x14ac:dyDescent="0.2">
      <c r="A1930" s="821">
        <v>94</v>
      </c>
      <c r="B1930" s="469" t="s">
        <v>2238</v>
      </c>
      <c r="C1930" s="476" t="s">
        <v>7289</v>
      </c>
      <c r="D1930" s="464"/>
      <c r="E1930" s="465" t="s">
        <v>3533</v>
      </c>
      <c r="F1930" s="466" t="s">
        <v>2922</v>
      </c>
      <c r="G1930" s="518"/>
      <c r="H1930" s="477">
        <v>45239</v>
      </c>
      <c r="I1930" s="473">
        <f t="shared" si="80"/>
        <v>2039279.2792792791</v>
      </c>
      <c r="J1930" s="473">
        <f t="shared" si="81"/>
        <v>224320.72072072071</v>
      </c>
      <c r="K1930" s="474">
        <f>1263600+1000000</f>
        <v>2263600</v>
      </c>
      <c r="L1930" s="475"/>
    </row>
    <row r="1931" spans="1:12" s="824" customFormat="1" x14ac:dyDescent="0.2">
      <c r="A1931" s="821">
        <v>95</v>
      </c>
      <c r="B1931" s="485" t="s">
        <v>2239</v>
      </c>
      <c r="C1931" s="476" t="s">
        <v>7320</v>
      </c>
      <c r="D1931" s="464"/>
      <c r="E1931" s="465" t="s">
        <v>2891</v>
      </c>
      <c r="F1931" s="466" t="s">
        <v>2873</v>
      </c>
      <c r="G1931" s="518"/>
      <c r="H1931" s="477">
        <v>45239</v>
      </c>
      <c r="I1931" s="488">
        <f t="shared" si="80"/>
        <v>4237684.6846846845</v>
      </c>
      <c r="J1931" s="488">
        <f t="shared" si="81"/>
        <v>466145.31531531533</v>
      </c>
      <c r="K1931" s="474">
        <f>1533300+3170530</f>
        <v>4703830</v>
      </c>
      <c r="L1931" s="475"/>
    </row>
    <row r="1932" spans="1:12" s="824" customFormat="1" x14ac:dyDescent="0.2">
      <c r="A1932" s="821">
        <v>96</v>
      </c>
      <c r="B1932" s="469" t="s">
        <v>2241</v>
      </c>
      <c r="C1932" s="476" t="s">
        <v>7292</v>
      </c>
      <c r="D1932" s="464"/>
      <c r="E1932" s="465" t="s">
        <v>3531</v>
      </c>
      <c r="F1932" s="466" t="s">
        <v>3061</v>
      </c>
      <c r="G1932" s="518"/>
      <c r="H1932" s="477">
        <v>45239</v>
      </c>
      <c r="I1932" s="473">
        <f t="shared" si="80"/>
        <v>2108108.1081081079</v>
      </c>
      <c r="J1932" s="473">
        <f t="shared" si="81"/>
        <v>231891.89189189186</v>
      </c>
      <c r="K1932" s="474">
        <v>2340000</v>
      </c>
      <c r="L1932" s="475"/>
    </row>
    <row r="1933" spans="1:12" s="824" customFormat="1" x14ac:dyDescent="0.2">
      <c r="A1933" s="821">
        <v>97</v>
      </c>
      <c r="B1933" s="785" t="s">
        <v>2242</v>
      </c>
      <c r="C1933" s="476" t="s">
        <v>7377</v>
      </c>
      <c r="D1933" s="725"/>
      <c r="E1933" s="726" t="s">
        <v>2897</v>
      </c>
      <c r="F1933" s="726" t="s">
        <v>2879</v>
      </c>
      <c r="G1933" s="786"/>
      <c r="H1933" s="831">
        <v>45239</v>
      </c>
      <c r="I1933" s="488">
        <f t="shared" si="80"/>
        <v>2840576.5765765761</v>
      </c>
      <c r="J1933" s="488">
        <f t="shared" si="81"/>
        <v>312463.42342342337</v>
      </c>
      <c r="K1933" s="474">
        <f>653040+2500000</f>
        <v>3153040</v>
      </c>
      <c r="L1933" s="475"/>
    </row>
    <row r="1934" spans="1:12" s="824" customFormat="1" x14ac:dyDescent="0.2">
      <c r="A1934" s="821">
        <v>98</v>
      </c>
      <c r="B1934" s="469" t="s">
        <v>2243</v>
      </c>
      <c r="C1934" s="476" t="s">
        <v>7301</v>
      </c>
      <c r="D1934" s="464"/>
      <c r="E1934" s="471" t="s">
        <v>7293</v>
      </c>
      <c r="F1934" s="471" t="s">
        <v>2823</v>
      </c>
      <c r="G1934" s="518"/>
      <c r="H1934" s="472">
        <v>45240</v>
      </c>
      <c r="I1934" s="473">
        <f t="shared" si="80"/>
        <v>8286486.4864864862</v>
      </c>
      <c r="J1934" s="473">
        <f t="shared" si="81"/>
        <v>911513.51351351349</v>
      </c>
      <c r="K1934" s="474">
        <f>3150000+6048000</f>
        <v>9198000</v>
      </c>
      <c r="L1934" s="475"/>
    </row>
    <row r="1935" spans="1:12" s="824" customFormat="1" x14ac:dyDescent="0.2">
      <c r="A1935" s="821">
        <v>99</v>
      </c>
      <c r="B1935" s="485" t="s">
        <v>2244</v>
      </c>
      <c r="C1935" s="476" t="s">
        <v>7294</v>
      </c>
      <c r="D1935" s="464"/>
      <c r="E1935" s="465" t="s">
        <v>3966</v>
      </c>
      <c r="F1935" s="466" t="s">
        <v>2858</v>
      </c>
      <c r="G1935" s="518"/>
      <c r="H1935" s="477">
        <v>45240</v>
      </c>
      <c r="I1935" s="488">
        <f t="shared" si="80"/>
        <v>3064864.8648648644</v>
      </c>
      <c r="J1935" s="488">
        <f t="shared" si="81"/>
        <v>337135.13513513509</v>
      </c>
      <c r="K1935" s="474">
        <v>3402000</v>
      </c>
      <c r="L1935" s="475"/>
    </row>
    <row r="1936" spans="1:12" x14ac:dyDescent="0.2">
      <c r="A1936" s="305">
        <v>100</v>
      </c>
      <c r="B1936" s="822" t="s">
        <v>2253</v>
      </c>
      <c r="C1936" s="476" t="s">
        <v>7338</v>
      </c>
      <c r="D1936" s="725"/>
      <c r="E1936" s="708" t="s">
        <v>2947</v>
      </c>
      <c r="F1936" s="727" t="s">
        <v>2823</v>
      </c>
      <c r="G1936" s="786"/>
      <c r="H1936" s="823">
        <v>45240</v>
      </c>
      <c r="I1936" s="473">
        <f t="shared" si="80"/>
        <v>5586283.7837837832</v>
      </c>
      <c r="J1936" s="473">
        <f t="shared" si="81"/>
        <v>614491.21621621621</v>
      </c>
      <c r="K1936" s="474">
        <f>5147100+1053675</f>
        <v>6200775</v>
      </c>
      <c r="L1936" s="475"/>
    </row>
    <row r="1937" spans="1:12" x14ac:dyDescent="0.2">
      <c r="A1937" s="305">
        <v>101</v>
      </c>
      <c r="B1937" s="785" t="s">
        <v>2254</v>
      </c>
      <c r="C1937" s="480" t="s">
        <v>7318</v>
      </c>
      <c r="D1937" s="826"/>
      <c r="E1937" s="827" t="s">
        <v>3020</v>
      </c>
      <c r="F1937" s="828" t="s">
        <v>3021</v>
      </c>
      <c r="G1937" s="786"/>
      <c r="H1937" s="829">
        <v>45240</v>
      </c>
      <c r="I1937" s="488">
        <f t="shared" si="80"/>
        <v>3178378.3783783782</v>
      </c>
      <c r="J1937" s="488">
        <f t="shared" si="81"/>
        <v>349621.6216216216</v>
      </c>
      <c r="K1937" s="474">
        <f>1764000+1764000</f>
        <v>3528000</v>
      </c>
      <c r="L1937" s="475"/>
    </row>
    <row r="1938" spans="1:12" s="824" customFormat="1" x14ac:dyDescent="0.2">
      <c r="A1938" s="821">
        <v>102</v>
      </c>
      <c r="B1938" s="822" t="s">
        <v>2255</v>
      </c>
      <c r="C1938" s="476" t="s">
        <v>7401</v>
      </c>
      <c r="D1938" s="725"/>
      <c r="E1938" s="726" t="s">
        <v>2939</v>
      </c>
      <c r="F1938" s="726" t="s">
        <v>2940</v>
      </c>
      <c r="G1938" s="786"/>
      <c r="H1938" s="823">
        <v>45240</v>
      </c>
      <c r="I1938" s="473">
        <f t="shared" si="80"/>
        <v>5108108.1081081079</v>
      </c>
      <c r="J1938" s="473">
        <f t="shared" si="81"/>
        <v>561891.89189189184</v>
      </c>
      <c r="K1938" s="474">
        <f>787500+4882500</f>
        <v>5670000</v>
      </c>
      <c r="L1938" s="475"/>
    </row>
    <row r="1939" spans="1:12" x14ac:dyDescent="0.2">
      <c r="A1939" s="305">
        <v>103</v>
      </c>
      <c r="B1939" s="785" t="s">
        <v>2256</v>
      </c>
      <c r="C1939" s="476" t="s">
        <v>7324</v>
      </c>
      <c r="D1939" s="725"/>
      <c r="E1939" s="708" t="s">
        <v>2907</v>
      </c>
      <c r="F1939" s="727" t="s">
        <v>2908</v>
      </c>
      <c r="G1939" s="786"/>
      <c r="H1939" s="823">
        <v>45240</v>
      </c>
      <c r="I1939" s="488">
        <f t="shared" si="80"/>
        <v>7807815.3153153146</v>
      </c>
      <c r="J1939" s="488">
        <f t="shared" si="81"/>
        <v>858859.68468468462</v>
      </c>
      <c r="K1939" s="474">
        <f>4892125+359100+3415450</f>
        <v>8666675</v>
      </c>
      <c r="L1939" s="475"/>
    </row>
    <row r="1940" spans="1:12" x14ac:dyDescent="0.2">
      <c r="A1940" s="305">
        <v>104</v>
      </c>
      <c r="B1940" s="822" t="s">
        <v>2257</v>
      </c>
      <c r="C1940" s="476" t="s">
        <v>7305</v>
      </c>
      <c r="D1940" s="725"/>
      <c r="E1940" s="708" t="s">
        <v>6909</v>
      </c>
      <c r="F1940" s="727" t="s">
        <v>2886</v>
      </c>
      <c r="G1940" s="786"/>
      <c r="H1940" s="823">
        <v>45240</v>
      </c>
      <c r="I1940" s="473">
        <f t="shared" si="80"/>
        <v>6356562.1621621614</v>
      </c>
      <c r="J1940" s="473">
        <f t="shared" si="81"/>
        <v>699221.83783783775</v>
      </c>
      <c r="K1940" s="474">
        <f>2363280+2213640+2478864</f>
        <v>7055784</v>
      </c>
      <c r="L1940" s="475"/>
    </row>
    <row r="1941" spans="1:12" s="824" customFormat="1" x14ac:dyDescent="0.2">
      <c r="A1941" s="821">
        <v>105</v>
      </c>
      <c r="B1941" s="485" t="s">
        <v>2258</v>
      </c>
      <c r="C1941" s="476" t="s">
        <v>7315</v>
      </c>
      <c r="D1941" s="464"/>
      <c r="E1941" s="465" t="s">
        <v>2900</v>
      </c>
      <c r="F1941" s="466" t="s">
        <v>2823</v>
      </c>
      <c r="G1941" s="518"/>
      <c r="H1941" s="477">
        <v>45241</v>
      </c>
      <c r="I1941" s="488">
        <f t="shared" si="80"/>
        <v>26766801.801801801</v>
      </c>
      <c r="J1941" s="488">
        <f t="shared" si="81"/>
        <v>2944348.1981981979</v>
      </c>
      <c r="K1941" s="474">
        <f>3572100+6048000+20091050</f>
        <v>29711150</v>
      </c>
      <c r="L1941" s="475"/>
    </row>
    <row r="1942" spans="1:12" x14ac:dyDescent="0.2">
      <c r="A1942" s="305">
        <v>106</v>
      </c>
      <c r="B1942" s="469" t="s">
        <v>2259</v>
      </c>
      <c r="C1942" s="476" t="s">
        <v>7346</v>
      </c>
      <c r="D1942" s="464"/>
      <c r="E1942" s="465" t="s">
        <v>2948</v>
      </c>
      <c r="F1942" s="466" t="s">
        <v>2892</v>
      </c>
      <c r="G1942" s="518"/>
      <c r="H1942" s="477">
        <v>45241</v>
      </c>
      <c r="I1942" s="473">
        <f t="shared" si="80"/>
        <v>9417475.6756756753</v>
      </c>
      <c r="J1942" s="473">
        <f t="shared" si="81"/>
        <v>1035922.3243243243</v>
      </c>
      <c r="K1942" s="474">
        <f>1962720+4114230+4376448</f>
        <v>10453398</v>
      </c>
      <c r="L1942" s="475"/>
    </row>
    <row r="1943" spans="1:12" x14ac:dyDescent="0.2">
      <c r="A1943" s="305">
        <v>107</v>
      </c>
      <c r="B1943" s="785" t="s">
        <v>2260</v>
      </c>
      <c r="C1943" s="476" t="s">
        <v>7366</v>
      </c>
      <c r="D1943" s="725"/>
      <c r="E1943" s="708" t="s">
        <v>2918</v>
      </c>
      <c r="F1943" s="727" t="s">
        <v>2919</v>
      </c>
      <c r="G1943" s="786"/>
      <c r="H1943" s="823">
        <v>45241</v>
      </c>
      <c r="I1943" s="488">
        <f t="shared" si="80"/>
        <v>2900450.4504504502</v>
      </c>
      <c r="J1943" s="488">
        <f t="shared" si="81"/>
        <v>319049.54954954953</v>
      </c>
      <c r="K1943" s="474">
        <f>1221300+1998200</f>
        <v>3219500</v>
      </c>
      <c r="L1943" s="475"/>
    </row>
    <row r="1944" spans="1:12" x14ac:dyDescent="0.2">
      <c r="A1944" s="305">
        <v>108</v>
      </c>
      <c r="B1944" s="469" t="s">
        <v>2261</v>
      </c>
      <c r="C1944" s="476" t="s">
        <v>7344</v>
      </c>
      <c r="D1944" s="464"/>
      <c r="E1944" s="465" t="s">
        <v>2907</v>
      </c>
      <c r="F1944" s="466" t="s">
        <v>2792</v>
      </c>
      <c r="G1944" s="518"/>
      <c r="H1944" s="477">
        <v>45241</v>
      </c>
      <c r="I1944" s="473">
        <f t="shared" si="80"/>
        <v>1711549.5495495494</v>
      </c>
      <c r="J1944" s="473">
        <f t="shared" si="81"/>
        <v>188270.45045045044</v>
      </c>
      <c r="K1944" s="474">
        <f>486920+1412900</f>
        <v>1899820</v>
      </c>
      <c r="L1944" s="475"/>
    </row>
    <row r="1945" spans="1:12" x14ac:dyDescent="0.2">
      <c r="A1945" s="305">
        <v>109</v>
      </c>
      <c r="B1945" s="485" t="s">
        <v>2240</v>
      </c>
      <c r="C1945" s="476" t="s">
        <v>7291</v>
      </c>
      <c r="D1945" s="464"/>
      <c r="E1945" s="465" t="s">
        <v>3035</v>
      </c>
      <c r="F1945" s="466" t="s">
        <v>2890</v>
      </c>
      <c r="G1945" s="518"/>
      <c r="H1945" s="477">
        <v>45243</v>
      </c>
      <c r="I1945" s="488">
        <f t="shared" ref="I1945:I1976" si="82">K1945/1.11</f>
        <v>2640090.0900900899</v>
      </c>
      <c r="J1945" s="488">
        <f t="shared" ref="J1945:J1976" si="83">I1945*11%</f>
        <v>290409.90990990988</v>
      </c>
      <c r="K1945" s="474">
        <f>430500+2500000</f>
        <v>2930500</v>
      </c>
      <c r="L1945" s="475"/>
    </row>
    <row r="1946" spans="1:12" x14ac:dyDescent="0.2">
      <c r="A1946" s="305">
        <v>110</v>
      </c>
      <c r="B1946" s="469" t="s">
        <v>2245</v>
      </c>
      <c r="C1946" s="476" t="s">
        <v>7428</v>
      </c>
      <c r="D1946" s="464"/>
      <c r="E1946" s="465" t="s">
        <v>2907</v>
      </c>
      <c r="F1946" s="466" t="s">
        <v>2926</v>
      </c>
      <c r="G1946" s="518"/>
      <c r="H1946" s="477">
        <v>45243</v>
      </c>
      <c r="I1946" s="473">
        <f t="shared" si="82"/>
        <v>16453837.837837836</v>
      </c>
      <c r="J1946" s="473">
        <f t="shared" si="83"/>
        <v>1809922.1621621619</v>
      </c>
      <c r="K1946" s="474">
        <f>1115340+12396132+4752288</f>
        <v>18263760</v>
      </c>
      <c r="L1946" s="475"/>
    </row>
    <row r="1947" spans="1:12" x14ac:dyDescent="0.2">
      <c r="A1947" s="305">
        <v>111</v>
      </c>
      <c r="B1947" s="785" t="s">
        <v>2263</v>
      </c>
      <c r="C1947" s="476" t="s">
        <v>7378</v>
      </c>
      <c r="D1947" s="725"/>
      <c r="E1947" s="708" t="s">
        <v>3014</v>
      </c>
      <c r="F1947" s="727" t="s">
        <v>3006</v>
      </c>
      <c r="G1947" s="786"/>
      <c r="H1947" s="823">
        <v>45243</v>
      </c>
      <c r="I1947" s="488">
        <f t="shared" si="82"/>
        <v>7385837.8378378376</v>
      </c>
      <c r="J1947" s="488">
        <f t="shared" si="83"/>
        <v>812442.16216216213</v>
      </c>
      <c r="K1947" s="474">
        <f>775440+5292000+2130840</f>
        <v>8198280</v>
      </c>
      <c r="L1947" s="475"/>
    </row>
    <row r="1948" spans="1:12" x14ac:dyDescent="0.2">
      <c r="A1948" s="305">
        <v>112</v>
      </c>
      <c r="B1948" s="469" t="s">
        <v>2264</v>
      </c>
      <c r="C1948" s="476" t="s">
        <v>7352</v>
      </c>
      <c r="D1948" s="464"/>
      <c r="E1948" s="465" t="s">
        <v>3104</v>
      </c>
      <c r="F1948" s="466" t="s">
        <v>3061</v>
      </c>
      <c r="G1948" s="518"/>
      <c r="H1948" s="477">
        <v>45243</v>
      </c>
      <c r="I1948" s="473">
        <f t="shared" si="82"/>
        <v>3731891.8918918916</v>
      </c>
      <c r="J1948" s="473">
        <f t="shared" si="83"/>
        <v>410508.10810810811</v>
      </c>
      <c r="K1948" s="474">
        <f>1592400+2550000</f>
        <v>4142400</v>
      </c>
      <c r="L1948" s="475"/>
    </row>
    <row r="1949" spans="1:12" x14ac:dyDescent="0.2">
      <c r="A1949" s="305">
        <v>113</v>
      </c>
      <c r="B1949" s="485" t="s">
        <v>2265</v>
      </c>
      <c r="C1949" s="480" t="s">
        <v>7306</v>
      </c>
      <c r="D1949" s="481"/>
      <c r="E1949" s="482" t="s">
        <v>5201</v>
      </c>
      <c r="F1949" s="483" t="s">
        <v>3047</v>
      </c>
      <c r="G1949" s="518"/>
      <c r="H1949" s="484">
        <v>45243</v>
      </c>
      <c r="I1949" s="488">
        <f t="shared" si="82"/>
        <v>4635135.1351351347</v>
      </c>
      <c r="J1949" s="488">
        <f t="shared" si="83"/>
        <v>509864.86486486479</v>
      </c>
      <c r="K1949" s="474">
        <f>145000+5000000</f>
        <v>5145000</v>
      </c>
      <c r="L1949" s="475"/>
    </row>
    <row r="1950" spans="1:12" x14ac:dyDescent="0.2">
      <c r="A1950" s="305">
        <v>114</v>
      </c>
      <c r="B1950" s="469" t="s">
        <v>2266</v>
      </c>
      <c r="C1950" s="476" t="s">
        <v>7307</v>
      </c>
      <c r="D1950" s="464"/>
      <c r="E1950" s="471" t="s">
        <v>3471</v>
      </c>
      <c r="F1950" s="471" t="s">
        <v>3472</v>
      </c>
      <c r="G1950" s="518"/>
      <c r="H1950" s="477">
        <v>45243</v>
      </c>
      <c r="I1950" s="473">
        <f t="shared" si="82"/>
        <v>5400918.9189189188</v>
      </c>
      <c r="J1950" s="473">
        <f t="shared" si="83"/>
        <v>594101.08108108107</v>
      </c>
      <c r="K1950" s="474">
        <v>5995020</v>
      </c>
      <c r="L1950" s="475"/>
    </row>
    <row r="1951" spans="1:12" x14ac:dyDescent="0.2">
      <c r="A1951" s="305">
        <v>115</v>
      </c>
      <c r="B1951" s="485" t="s">
        <v>2344</v>
      </c>
      <c r="C1951" s="476" t="s">
        <v>7436</v>
      </c>
      <c r="D1951" s="464"/>
      <c r="E1951" s="465" t="s">
        <v>3612</v>
      </c>
      <c r="F1951" s="466" t="s">
        <v>3609</v>
      </c>
      <c r="G1951" s="464"/>
      <c r="H1951" s="477">
        <v>45243</v>
      </c>
      <c r="I1951" s="488">
        <f t="shared" si="82"/>
        <v>40591895.495495491</v>
      </c>
      <c r="J1951" s="488">
        <f t="shared" si="83"/>
        <v>4465108.5045045037</v>
      </c>
      <c r="K1951" s="474">
        <f>45057004</f>
        <v>45057004</v>
      </c>
      <c r="L1951" s="475"/>
    </row>
    <row r="1952" spans="1:12" x14ac:dyDescent="0.2">
      <c r="A1952" s="305">
        <v>116</v>
      </c>
      <c r="B1952" s="469" t="s">
        <v>2267</v>
      </c>
      <c r="C1952" s="476" t="s">
        <v>5646</v>
      </c>
      <c r="D1952" s="464"/>
      <c r="E1952" s="465" t="s">
        <v>7308</v>
      </c>
      <c r="F1952" s="466" t="s">
        <v>2877</v>
      </c>
      <c r="G1952" s="518"/>
      <c r="H1952" s="477">
        <v>45244</v>
      </c>
      <c r="I1952" s="473">
        <f t="shared" si="82"/>
        <v>2748468.4684684682</v>
      </c>
      <c r="J1952" s="473">
        <f t="shared" si="83"/>
        <v>302331.53153153148</v>
      </c>
      <c r="K1952" s="474">
        <f>550800+2500000</f>
        <v>3050800</v>
      </c>
      <c r="L1952" s="475"/>
    </row>
    <row r="1953" spans="1:12" x14ac:dyDescent="0.2">
      <c r="A1953" s="305">
        <v>117</v>
      </c>
      <c r="B1953" s="485" t="s">
        <v>2268</v>
      </c>
      <c r="C1953" s="476" t="s">
        <v>7309</v>
      </c>
      <c r="D1953" s="464"/>
      <c r="E1953" s="465" t="s">
        <v>7000</v>
      </c>
      <c r="F1953" s="466" t="s">
        <v>7001</v>
      </c>
      <c r="G1953" s="518"/>
      <c r="H1953" s="477">
        <v>45244</v>
      </c>
      <c r="I1953" s="488">
        <f t="shared" si="82"/>
        <v>1899171.1711711709</v>
      </c>
      <c r="J1953" s="488">
        <f t="shared" si="83"/>
        <v>208908.82882882879</v>
      </c>
      <c r="K1953" s="474">
        <f>1108080+1000000</f>
        <v>2108080</v>
      </c>
      <c r="L1953" s="475"/>
    </row>
    <row r="1954" spans="1:12" x14ac:dyDescent="0.2">
      <c r="A1954" s="305">
        <v>118</v>
      </c>
      <c r="B1954" s="469" t="s">
        <v>2269</v>
      </c>
      <c r="C1954" s="476" t="s">
        <v>7310</v>
      </c>
      <c r="D1954" s="464"/>
      <c r="E1954" s="465" t="s">
        <v>2993</v>
      </c>
      <c r="F1954" s="466" t="s">
        <v>2994</v>
      </c>
      <c r="G1954" s="518"/>
      <c r="H1954" s="477">
        <v>45244</v>
      </c>
      <c r="I1954" s="473">
        <f t="shared" si="82"/>
        <v>2966414.4144144142</v>
      </c>
      <c r="J1954" s="473">
        <f t="shared" si="83"/>
        <v>326305.58558558556</v>
      </c>
      <c r="K1954" s="474">
        <f>792720+2500000</f>
        <v>3292720</v>
      </c>
      <c r="L1954" s="475"/>
    </row>
    <row r="1955" spans="1:12" x14ac:dyDescent="0.2">
      <c r="A1955" s="305">
        <v>119</v>
      </c>
      <c r="B1955" s="485" t="s">
        <v>2270</v>
      </c>
      <c r="C1955" s="476" t="s">
        <v>7311</v>
      </c>
      <c r="D1955" s="464"/>
      <c r="E1955" s="465" t="s">
        <v>5610</v>
      </c>
      <c r="F1955" s="466" t="s">
        <v>2946</v>
      </c>
      <c r="G1955" s="518"/>
      <c r="H1955" s="477">
        <v>45244</v>
      </c>
      <c r="I1955" s="488">
        <f t="shared" si="82"/>
        <v>4593693.6936936937</v>
      </c>
      <c r="J1955" s="488">
        <f t="shared" si="83"/>
        <v>505306.30630630633</v>
      </c>
      <c r="K1955" s="474">
        <f>99000+5000000</f>
        <v>5099000</v>
      </c>
      <c r="L1955" s="475"/>
    </row>
    <row r="1956" spans="1:12" x14ac:dyDescent="0.2">
      <c r="A1956" s="305">
        <v>120</v>
      </c>
      <c r="B1956" s="469" t="s">
        <v>2278</v>
      </c>
      <c r="C1956" s="476" t="s">
        <v>7321</v>
      </c>
      <c r="D1956" s="464"/>
      <c r="E1956" s="465" t="s">
        <v>7322</v>
      </c>
      <c r="F1956" s="466" t="s">
        <v>3147</v>
      </c>
      <c r="G1956" s="518"/>
      <c r="H1956" s="477">
        <v>45244</v>
      </c>
      <c r="I1956" s="473">
        <f t="shared" si="82"/>
        <v>1846846.8468468466</v>
      </c>
      <c r="J1956" s="473">
        <f t="shared" si="83"/>
        <v>203153.15315315314</v>
      </c>
      <c r="K1956" s="474">
        <f>1050000+1000000</f>
        <v>2050000</v>
      </c>
      <c r="L1956" s="475"/>
    </row>
    <row r="1957" spans="1:12" x14ac:dyDescent="0.2">
      <c r="A1957" s="305">
        <v>121</v>
      </c>
      <c r="B1957" s="485" t="s">
        <v>2271</v>
      </c>
      <c r="C1957" s="476" t="s">
        <v>7312</v>
      </c>
      <c r="D1957" s="464"/>
      <c r="E1957" s="465" t="s">
        <v>3024</v>
      </c>
      <c r="F1957" s="466" t="s">
        <v>3025</v>
      </c>
      <c r="G1957" s="518"/>
      <c r="H1957" s="477">
        <v>45245</v>
      </c>
      <c r="I1957" s="488">
        <f t="shared" si="82"/>
        <v>2495495.4954954954</v>
      </c>
      <c r="J1957" s="488">
        <f t="shared" si="83"/>
        <v>274504.5045045045</v>
      </c>
      <c r="K1957" s="474">
        <f>270000+2500000</f>
        <v>2770000</v>
      </c>
      <c r="L1957" s="475"/>
    </row>
    <row r="1958" spans="1:12" x14ac:dyDescent="0.2">
      <c r="A1958" s="305">
        <v>122</v>
      </c>
      <c r="B1958" s="469" t="s">
        <v>2272</v>
      </c>
      <c r="C1958" s="476" t="s">
        <v>7392</v>
      </c>
      <c r="D1958" s="464"/>
      <c r="E1958" s="465" t="s">
        <v>2907</v>
      </c>
      <c r="F1958" s="466" t="s">
        <v>2858</v>
      </c>
      <c r="G1958" s="518"/>
      <c r="H1958" s="477">
        <v>45245</v>
      </c>
      <c r="I1958" s="473">
        <f t="shared" si="82"/>
        <v>13785360.36036036</v>
      </c>
      <c r="J1958" s="473">
        <f t="shared" si="83"/>
        <v>1516389.6396396395</v>
      </c>
      <c r="K1958" s="474">
        <f>1522500+3865500+9913750</f>
        <v>15301750</v>
      </c>
      <c r="L1958" s="475"/>
    </row>
    <row r="1959" spans="1:12" x14ac:dyDescent="0.2">
      <c r="A1959" s="305">
        <v>123</v>
      </c>
      <c r="B1959" s="485" t="s">
        <v>2274</v>
      </c>
      <c r="C1959" s="476" t="s">
        <v>7416</v>
      </c>
      <c r="D1959" s="464"/>
      <c r="E1959" s="465" t="s">
        <v>2898</v>
      </c>
      <c r="F1959" s="466" t="s">
        <v>2823</v>
      </c>
      <c r="G1959" s="518"/>
      <c r="H1959" s="477">
        <v>45245</v>
      </c>
      <c r="I1959" s="488">
        <f t="shared" si="82"/>
        <v>31208490.990990989</v>
      </c>
      <c r="J1959" s="488">
        <f t="shared" si="83"/>
        <v>3432934.0090090088</v>
      </c>
      <c r="K1959" s="474">
        <f>26268375+4216800+4156250</f>
        <v>34641425</v>
      </c>
      <c r="L1959" s="475"/>
    </row>
    <row r="1960" spans="1:12" x14ac:dyDescent="0.2">
      <c r="A1960" s="305">
        <v>124</v>
      </c>
      <c r="B1960" s="469" t="s">
        <v>2275</v>
      </c>
      <c r="C1960" s="476" t="s">
        <v>7317</v>
      </c>
      <c r="D1960" s="464"/>
      <c r="E1960" s="465" t="s">
        <v>3030</v>
      </c>
      <c r="F1960" s="466" t="s">
        <v>2892</v>
      </c>
      <c r="G1960" s="518"/>
      <c r="H1960" s="477">
        <v>45245</v>
      </c>
      <c r="I1960" s="473">
        <f t="shared" si="82"/>
        <v>2748162.1621621619</v>
      </c>
      <c r="J1960" s="473">
        <f t="shared" si="83"/>
        <v>302297.83783783781</v>
      </c>
      <c r="K1960" s="474">
        <v>3050460</v>
      </c>
      <c r="L1960" s="475"/>
    </row>
    <row r="1961" spans="1:12" x14ac:dyDescent="0.2">
      <c r="A1961" s="305">
        <v>125</v>
      </c>
      <c r="B1961" s="485" t="s">
        <v>2273</v>
      </c>
      <c r="C1961" s="476" t="s">
        <v>7313</v>
      </c>
      <c r="D1961" s="464"/>
      <c r="E1961" s="465" t="s">
        <v>3156</v>
      </c>
      <c r="F1961" s="466" t="s">
        <v>2912</v>
      </c>
      <c r="G1961" s="518"/>
      <c r="H1961" s="477">
        <v>45246</v>
      </c>
      <c r="I1961" s="488">
        <f t="shared" si="82"/>
        <v>1281531.5315315314</v>
      </c>
      <c r="J1961" s="488">
        <f t="shared" si="83"/>
        <v>140968.46846846846</v>
      </c>
      <c r="K1961" s="474">
        <f>211400+1211100</f>
        <v>1422500</v>
      </c>
      <c r="L1961" s="475"/>
    </row>
    <row r="1962" spans="1:12" s="824" customFormat="1" x14ac:dyDescent="0.2">
      <c r="A1962" s="821">
        <v>126</v>
      </c>
      <c r="B1962" s="469" t="s">
        <v>2276</v>
      </c>
      <c r="C1962" s="480" t="s">
        <v>7333</v>
      </c>
      <c r="D1962" s="481"/>
      <c r="E1962" s="482" t="s">
        <v>3491</v>
      </c>
      <c r="F1962" s="483" t="s">
        <v>3492</v>
      </c>
      <c r="G1962" s="518"/>
      <c r="H1962" s="484">
        <v>45246</v>
      </c>
      <c r="I1962" s="473">
        <f t="shared" si="82"/>
        <v>2370810.8108108104</v>
      </c>
      <c r="J1962" s="473">
        <f t="shared" si="83"/>
        <v>260789.18918918914</v>
      </c>
      <c r="K1962" s="474">
        <f>405000+801000+1425600</f>
        <v>2631600</v>
      </c>
      <c r="L1962" s="475"/>
    </row>
    <row r="1963" spans="1:12" s="824" customFormat="1" x14ac:dyDescent="0.2">
      <c r="A1963" s="821">
        <v>127</v>
      </c>
      <c r="B1963" s="485" t="s">
        <v>2277</v>
      </c>
      <c r="C1963" s="476" t="s">
        <v>7342</v>
      </c>
      <c r="D1963" s="464"/>
      <c r="E1963" s="471" t="s">
        <v>2883</v>
      </c>
      <c r="F1963" s="471" t="s">
        <v>2884</v>
      </c>
      <c r="G1963" s="518"/>
      <c r="H1963" s="477">
        <v>45246</v>
      </c>
      <c r="I1963" s="488">
        <f t="shared" si="82"/>
        <v>12149135.135135135</v>
      </c>
      <c r="J1963" s="488">
        <f t="shared" si="83"/>
        <v>1336404.8648648649</v>
      </c>
      <c r="K1963" s="474">
        <f>3518640+5054400+4912500</f>
        <v>13485540</v>
      </c>
      <c r="L1963" s="475"/>
    </row>
    <row r="1964" spans="1:12" x14ac:dyDescent="0.2">
      <c r="A1964" s="305">
        <v>128</v>
      </c>
      <c r="B1964" s="469" t="s">
        <v>2279</v>
      </c>
      <c r="C1964" s="476" t="s">
        <v>7393</v>
      </c>
      <c r="D1964" s="464"/>
      <c r="E1964" s="465" t="s">
        <v>5041</v>
      </c>
      <c r="F1964" s="466" t="s">
        <v>2828</v>
      </c>
      <c r="G1964" s="518"/>
      <c r="H1964" s="477">
        <v>45247</v>
      </c>
      <c r="I1964" s="473">
        <f t="shared" si="82"/>
        <v>15665315.315315314</v>
      </c>
      <c r="J1964" s="473">
        <f t="shared" si="83"/>
        <v>1723184.6846846845</v>
      </c>
      <c r="K1964" s="474">
        <f>3875000+13513500</f>
        <v>17388500</v>
      </c>
      <c r="L1964" s="475"/>
    </row>
    <row r="1965" spans="1:12" x14ac:dyDescent="0.2">
      <c r="A1965" s="305">
        <v>129</v>
      </c>
      <c r="B1965" s="485" t="s">
        <v>2280</v>
      </c>
      <c r="C1965" s="476" t="s">
        <v>5549</v>
      </c>
      <c r="D1965" s="464"/>
      <c r="E1965" s="465" t="s">
        <v>7323</v>
      </c>
      <c r="F1965" s="466" t="s">
        <v>2755</v>
      </c>
      <c r="G1965" s="518"/>
      <c r="H1965" s="477">
        <v>45247</v>
      </c>
      <c r="I1965" s="488">
        <f t="shared" si="82"/>
        <v>2563063.0630630627</v>
      </c>
      <c r="J1965" s="488">
        <f t="shared" si="83"/>
        <v>281936.93693693692</v>
      </c>
      <c r="K1965" s="474">
        <f>1845000+1000000</f>
        <v>2845000</v>
      </c>
      <c r="L1965" s="475"/>
    </row>
    <row r="1966" spans="1:12" x14ac:dyDescent="0.2">
      <c r="A1966" s="305">
        <v>130</v>
      </c>
      <c r="B1966" s="469" t="s">
        <v>2282</v>
      </c>
      <c r="C1966" s="476" t="s">
        <v>7325</v>
      </c>
      <c r="D1966" s="464"/>
      <c r="E1966" s="465" t="s">
        <v>6941</v>
      </c>
      <c r="F1966" s="466" t="s">
        <v>2886</v>
      </c>
      <c r="G1966" s="518"/>
      <c r="H1966" s="477">
        <v>45247</v>
      </c>
      <c r="I1966" s="473">
        <f t="shared" si="82"/>
        <v>2680045.0450450447</v>
      </c>
      <c r="J1966" s="473">
        <f t="shared" si="83"/>
        <v>294804.95495495491</v>
      </c>
      <c r="K1966" s="474">
        <v>2974850</v>
      </c>
      <c r="L1966" s="475"/>
    </row>
    <row r="1967" spans="1:12" x14ac:dyDescent="0.2">
      <c r="A1967" s="305">
        <v>131</v>
      </c>
      <c r="B1967" s="785" t="s">
        <v>2309</v>
      </c>
      <c r="C1967" s="476" t="s">
        <v>7363</v>
      </c>
      <c r="D1967" s="725"/>
      <c r="E1967" s="708" t="s">
        <v>3553</v>
      </c>
      <c r="F1967" s="727" t="s">
        <v>2908</v>
      </c>
      <c r="G1967" s="725"/>
      <c r="H1967" s="823">
        <v>45247</v>
      </c>
      <c r="I1967" s="488">
        <f t="shared" si="82"/>
        <v>4673801.8018018017</v>
      </c>
      <c r="J1967" s="488">
        <f t="shared" si="83"/>
        <v>514118.19819819817</v>
      </c>
      <c r="K1967" s="474">
        <f>187920+5000000</f>
        <v>5187920</v>
      </c>
      <c r="L1967" s="475"/>
    </row>
    <row r="1968" spans="1:12" x14ac:dyDescent="0.2">
      <c r="A1968" s="305">
        <v>132</v>
      </c>
      <c r="B1968" s="822" t="s">
        <v>2310</v>
      </c>
      <c r="C1968" s="476" t="s">
        <v>7364</v>
      </c>
      <c r="D1968" s="725"/>
      <c r="E1968" s="708" t="s">
        <v>3471</v>
      </c>
      <c r="F1968" s="727" t="s">
        <v>2873</v>
      </c>
      <c r="G1968" s="725"/>
      <c r="H1968" s="823">
        <v>45247</v>
      </c>
      <c r="I1968" s="473">
        <f t="shared" si="82"/>
        <v>2556936.9369369368</v>
      </c>
      <c r="J1968" s="473">
        <f t="shared" si="83"/>
        <v>281263.06306306308</v>
      </c>
      <c r="K1968" s="474">
        <f>1838200+1000000</f>
        <v>2838200</v>
      </c>
      <c r="L1968" s="475"/>
    </row>
    <row r="1969" spans="1:12" x14ac:dyDescent="0.2">
      <c r="A1969" s="305">
        <v>133</v>
      </c>
      <c r="B1969" s="785" t="s">
        <v>2311</v>
      </c>
      <c r="C1969" s="480" t="s">
        <v>7365</v>
      </c>
      <c r="D1969" s="826"/>
      <c r="E1969" s="827" t="s">
        <v>3027</v>
      </c>
      <c r="F1969" s="828" t="s">
        <v>3025</v>
      </c>
      <c r="G1969" s="830"/>
      <c r="H1969" s="829">
        <v>45247</v>
      </c>
      <c r="I1969" s="488">
        <f t="shared" si="82"/>
        <v>1493837.8378378376</v>
      </c>
      <c r="J1969" s="488">
        <f t="shared" si="83"/>
        <v>164322.16216216213</v>
      </c>
      <c r="K1969" s="474">
        <f>738000+920160</f>
        <v>1658160</v>
      </c>
      <c r="L1969" s="475"/>
    </row>
    <row r="1970" spans="1:12" x14ac:dyDescent="0.2">
      <c r="A1970" s="305">
        <v>134</v>
      </c>
      <c r="B1970" s="469" t="s">
        <v>2345</v>
      </c>
      <c r="C1970" s="476" t="s">
        <v>7432</v>
      </c>
      <c r="D1970" s="464"/>
      <c r="E1970" s="465" t="s">
        <v>3612</v>
      </c>
      <c r="F1970" s="466" t="s">
        <v>2886</v>
      </c>
      <c r="G1970" s="464"/>
      <c r="H1970" s="477">
        <v>45247</v>
      </c>
      <c r="I1970" s="473">
        <f t="shared" si="82"/>
        <v>40591895.495495491</v>
      </c>
      <c r="J1970" s="473">
        <f t="shared" si="83"/>
        <v>4465108.5045045037</v>
      </c>
      <c r="K1970" s="474">
        <f>45057004</f>
        <v>45057004</v>
      </c>
      <c r="L1970" s="475"/>
    </row>
    <row r="1971" spans="1:12" x14ac:dyDescent="0.2">
      <c r="A1971" s="305">
        <v>135</v>
      </c>
      <c r="B1971" s="485" t="s">
        <v>2283</v>
      </c>
      <c r="C1971" s="476" t="s">
        <v>7375</v>
      </c>
      <c r="D1971" s="464"/>
      <c r="E1971" s="465" t="s">
        <v>3051</v>
      </c>
      <c r="F1971" s="466" t="s">
        <v>3052</v>
      </c>
      <c r="G1971" s="518"/>
      <c r="H1971" s="477">
        <v>45248</v>
      </c>
      <c r="I1971" s="488">
        <f t="shared" si="82"/>
        <v>1362765.7657657657</v>
      </c>
      <c r="J1971" s="488">
        <f t="shared" si="83"/>
        <v>149904.23423423423</v>
      </c>
      <c r="K1971" s="474">
        <f>1333390+179280</f>
        <v>1512670</v>
      </c>
      <c r="L1971" s="475"/>
    </row>
    <row r="1972" spans="1:12" x14ac:dyDescent="0.2">
      <c r="A1972" s="305">
        <v>136</v>
      </c>
      <c r="B1972" s="822" t="s">
        <v>2284</v>
      </c>
      <c r="C1972" s="476" t="s">
        <v>7379</v>
      </c>
      <c r="D1972" s="725"/>
      <c r="E1972" s="708" t="s">
        <v>2885</v>
      </c>
      <c r="F1972" s="727" t="s">
        <v>2886</v>
      </c>
      <c r="G1972" s="786"/>
      <c r="H1972" s="823">
        <v>45248</v>
      </c>
      <c r="I1972" s="473">
        <f t="shared" si="82"/>
        <v>2153254.054054054</v>
      </c>
      <c r="J1972" s="473">
        <f t="shared" si="83"/>
        <v>236857.94594594595</v>
      </c>
      <c r="K1972" s="474">
        <f>1093920+1296192</f>
        <v>2390112</v>
      </c>
      <c r="L1972" s="475"/>
    </row>
    <row r="1973" spans="1:12" x14ac:dyDescent="0.2">
      <c r="A1973" s="305">
        <v>137</v>
      </c>
      <c r="B1973" s="785" t="s">
        <v>2285</v>
      </c>
      <c r="C1973" s="476" t="s">
        <v>7370</v>
      </c>
      <c r="D1973" s="725"/>
      <c r="E1973" s="708" t="s">
        <v>3046</v>
      </c>
      <c r="F1973" s="727" t="s">
        <v>3047</v>
      </c>
      <c r="G1973" s="786"/>
      <c r="H1973" s="823">
        <v>45248</v>
      </c>
      <c r="I1973" s="488">
        <f t="shared" si="82"/>
        <v>3866666.6666666665</v>
      </c>
      <c r="J1973" s="488">
        <f t="shared" si="83"/>
        <v>425333.33333333331</v>
      </c>
      <c r="K1973" s="474">
        <f>3500000+792000</f>
        <v>4292000</v>
      </c>
      <c r="L1973" s="475"/>
    </row>
    <row r="1974" spans="1:12" x14ac:dyDescent="0.2">
      <c r="A1974" s="305">
        <v>138</v>
      </c>
      <c r="B1974" s="469" t="s">
        <v>2286</v>
      </c>
      <c r="C1974" s="476" t="s">
        <v>7329</v>
      </c>
      <c r="D1974" s="464"/>
      <c r="E1974" s="465" t="s">
        <v>2906</v>
      </c>
      <c r="F1974" s="466" t="s">
        <v>2892</v>
      </c>
      <c r="G1974" s="518"/>
      <c r="H1974" s="477">
        <v>45248</v>
      </c>
      <c r="I1974" s="473">
        <f t="shared" si="82"/>
        <v>7203599.9999999991</v>
      </c>
      <c r="J1974" s="473">
        <f t="shared" si="83"/>
        <v>792395.99999999988</v>
      </c>
      <c r="K1974" s="474">
        <v>7995996</v>
      </c>
      <c r="L1974" s="475"/>
    </row>
    <row r="1975" spans="1:12" x14ac:dyDescent="0.2">
      <c r="A1975" s="305">
        <v>139</v>
      </c>
      <c r="B1975" s="485" t="s">
        <v>2287</v>
      </c>
      <c r="C1975" s="480" t="s">
        <v>7330</v>
      </c>
      <c r="D1975" s="481"/>
      <c r="E1975" s="482" t="s">
        <v>3130</v>
      </c>
      <c r="F1975" s="483" t="s">
        <v>2873</v>
      </c>
      <c r="G1975" s="518"/>
      <c r="H1975" s="484">
        <v>45248</v>
      </c>
      <c r="I1975" s="488">
        <f t="shared" si="82"/>
        <v>2603603.6036036033</v>
      </c>
      <c r="J1975" s="488">
        <f t="shared" si="83"/>
        <v>286396.39639639639</v>
      </c>
      <c r="K1975" s="474">
        <f>1890000+1000000</f>
        <v>2890000</v>
      </c>
      <c r="L1975" s="475" t="s">
        <v>3127</v>
      </c>
    </row>
    <row r="1976" spans="1:12" x14ac:dyDescent="0.2">
      <c r="A1976" s="305">
        <v>140</v>
      </c>
      <c r="B1976" s="469" t="s">
        <v>2288</v>
      </c>
      <c r="C1976" s="476" t="s">
        <v>7347</v>
      </c>
      <c r="D1976" s="464"/>
      <c r="E1976" s="471" t="s">
        <v>2907</v>
      </c>
      <c r="F1976" s="471" t="s">
        <v>2926</v>
      </c>
      <c r="G1976" s="518"/>
      <c r="H1976" s="477">
        <v>45248</v>
      </c>
      <c r="I1976" s="473">
        <f t="shared" si="82"/>
        <v>4100756.7567567565</v>
      </c>
      <c r="J1976" s="473">
        <f t="shared" si="83"/>
        <v>451083.2432432432</v>
      </c>
      <c r="K1976" s="474">
        <f>1983600+2568240</f>
        <v>4551840</v>
      </c>
      <c r="L1976" s="475"/>
    </row>
    <row r="1977" spans="1:12" s="824" customFormat="1" x14ac:dyDescent="0.2">
      <c r="A1977" s="821">
        <v>141</v>
      </c>
      <c r="B1977" s="485" t="s">
        <v>2289</v>
      </c>
      <c r="C1977" s="476" t="s">
        <v>7316</v>
      </c>
      <c r="D1977" s="464"/>
      <c r="E1977" s="465" t="s">
        <v>3011</v>
      </c>
      <c r="F1977" s="466" t="s">
        <v>2823</v>
      </c>
      <c r="G1977" s="518"/>
      <c r="H1977" s="477">
        <v>45248</v>
      </c>
      <c r="I1977" s="488">
        <f t="shared" ref="I1977:I2008" si="84">K1977/1.11</f>
        <v>12010990.990990991</v>
      </c>
      <c r="J1977" s="488">
        <f t="shared" ref="J1977:J2008" si="85">I1977*11%</f>
        <v>1321209.009009009</v>
      </c>
      <c r="K1977" s="474">
        <v>13332200</v>
      </c>
      <c r="L1977" s="475"/>
    </row>
    <row r="1978" spans="1:12" x14ac:dyDescent="0.2">
      <c r="A1978" s="305">
        <v>142</v>
      </c>
      <c r="B1978" s="822" t="s">
        <v>2312</v>
      </c>
      <c r="C1978" s="476" t="s">
        <v>7367</v>
      </c>
      <c r="D1978" s="725"/>
      <c r="E1978" s="708" t="s">
        <v>3581</v>
      </c>
      <c r="F1978" s="727" t="s">
        <v>2944</v>
      </c>
      <c r="G1978" s="725"/>
      <c r="H1978" s="823">
        <v>45248</v>
      </c>
      <c r="I1978" s="473">
        <f t="shared" si="84"/>
        <v>4675675.6756756753</v>
      </c>
      <c r="J1978" s="473">
        <f t="shared" si="85"/>
        <v>514324.32432432426</v>
      </c>
      <c r="K1978" s="474">
        <f>190000+5000000</f>
        <v>5190000</v>
      </c>
      <c r="L1978" s="475"/>
    </row>
    <row r="1979" spans="1:12" s="824" customFormat="1" x14ac:dyDescent="0.2">
      <c r="A1979" s="821">
        <v>143</v>
      </c>
      <c r="B1979" s="485" t="s">
        <v>2290</v>
      </c>
      <c r="C1979" s="476" t="s">
        <v>7345</v>
      </c>
      <c r="D1979" s="464"/>
      <c r="E1979" s="465" t="s">
        <v>3122</v>
      </c>
      <c r="F1979" s="466" t="s">
        <v>2946</v>
      </c>
      <c r="G1979" s="518"/>
      <c r="H1979" s="477">
        <v>45250</v>
      </c>
      <c r="I1979" s="488">
        <f t="shared" si="84"/>
        <v>813981.98198198189</v>
      </c>
      <c r="J1979" s="488">
        <f t="shared" si="85"/>
        <v>89538.018018018003</v>
      </c>
      <c r="K1979" s="474">
        <f>389880+513640</f>
        <v>903520</v>
      </c>
      <c r="L1979" s="475"/>
    </row>
    <row r="1980" spans="1:12" x14ac:dyDescent="0.2">
      <c r="A1980" s="305">
        <v>144</v>
      </c>
      <c r="B1980" s="822" t="s">
        <v>2313</v>
      </c>
      <c r="C1980" s="476" t="s">
        <v>7368</v>
      </c>
      <c r="D1980" s="725"/>
      <c r="E1980" s="708" t="s">
        <v>3907</v>
      </c>
      <c r="F1980" s="727" t="s">
        <v>2873</v>
      </c>
      <c r="G1980" s="725"/>
      <c r="H1980" s="823">
        <v>45250</v>
      </c>
      <c r="I1980" s="473">
        <f t="shared" si="84"/>
        <v>4662162.1621621614</v>
      </c>
      <c r="J1980" s="473">
        <f t="shared" si="85"/>
        <v>512837.83783783775</v>
      </c>
      <c r="K1980" s="474">
        <f>175000+5000000</f>
        <v>5175000</v>
      </c>
      <c r="L1980" s="475"/>
    </row>
    <row r="1981" spans="1:12" x14ac:dyDescent="0.2">
      <c r="A1981" s="305">
        <v>145</v>
      </c>
      <c r="B1981" s="785" t="s">
        <v>2314</v>
      </c>
      <c r="C1981" s="476" t="s">
        <v>7369</v>
      </c>
      <c r="D1981" s="725"/>
      <c r="E1981" s="708" t="s">
        <v>2984</v>
      </c>
      <c r="F1981" s="727" t="s">
        <v>2873</v>
      </c>
      <c r="G1981" s="725"/>
      <c r="H1981" s="823">
        <v>45250</v>
      </c>
      <c r="I1981" s="488">
        <f t="shared" si="84"/>
        <v>3043981.9819819815</v>
      </c>
      <c r="J1981" s="488">
        <f t="shared" si="85"/>
        <v>334838.01801801799</v>
      </c>
      <c r="K1981" s="474">
        <f>1772060+1346760+260000</f>
        <v>3378820</v>
      </c>
      <c r="L1981" s="475"/>
    </row>
    <row r="1982" spans="1:12" x14ac:dyDescent="0.2">
      <c r="A1982" s="305">
        <v>146</v>
      </c>
      <c r="B1982" s="469" t="s">
        <v>2339</v>
      </c>
      <c r="C1982" s="476" t="s">
        <v>7414</v>
      </c>
      <c r="D1982" s="464"/>
      <c r="E1982" s="465" t="s">
        <v>3605</v>
      </c>
      <c r="F1982" s="466" t="s">
        <v>2915</v>
      </c>
      <c r="G1982" s="464"/>
      <c r="H1982" s="477">
        <v>45250</v>
      </c>
      <c r="I1982" s="473">
        <f t="shared" si="84"/>
        <v>12115196.396396395</v>
      </c>
      <c r="J1982" s="473">
        <f t="shared" si="85"/>
        <v>1332671.6036036036</v>
      </c>
      <c r="K1982" s="832">
        <v>13447868</v>
      </c>
      <c r="L1982" s="475"/>
    </row>
    <row r="1983" spans="1:12" x14ac:dyDescent="0.2">
      <c r="A1983" s="305">
        <v>147</v>
      </c>
      <c r="B1983" s="485" t="s">
        <v>2291</v>
      </c>
      <c r="C1983" s="476" t="s">
        <v>7340</v>
      </c>
      <c r="D1983" s="464"/>
      <c r="E1983" s="465" t="s">
        <v>2898</v>
      </c>
      <c r="F1983" s="466" t="s">
        <v>2823</v>
      </c>
      <c r="G1983" s="518"/>
      <c r="H1983" s="477">
        <v>45251</v>
      </c>
      <c r="I1983" s="488">
        <f t="shared" si="84"/>
        <v>12306756.756756756</v>
      </c>
      <c r="J1983" s="488">
        <f t="shared" si="85"/>
        <v>1353743.2432432433</v>
      </c>
      <c r="K1983" s="474">
        <f>1837500+861000+10962000</f>
        <v>13660500</v>
      </c>
      <c r="L1983" s="475"/>
    </row>
    <row r="1984" spans="1:12" x14ac:dyDescent="0.2">
      <c r="A1984" s="305">
        <v>148</v>
      </c>
      <c r="B1984" s="469" t="s">
        <v>2346</v>
      </c>
      <c r="C1984" s="476" t="s">
        <v>7433</v>
      </c>
      <c r="D1984" s="464"/>
      <c r="E1984" s="465" t="s">
        <v>3612</v>
      </c>
      <c r="F1984" s="466" t="s">
        <v>2935</v>
      </c>
      <c r="G1984" s="464"/>
      <c r="H1984" s="477">
        <v>45251</v>
      </c>
      <c r="I1984" s="473">
        <f t="shared" si="84"/>
        <v>40591895.495495491</v>
      </c>
      <c r="J1984" s="473">
        <f t="shared" si="85"/>
        <v>4465108.5045045037</v>
      </c>
      <c r="K1984" s="474">
        <f>45057004</f>
        <v>45057004</v>
      </c>
      <c r="L1984" s="475"/>
    </row>
    <row r="1985" spans="1:12" s="521" customFormat="1" x14ac:dyDescent="0.2">
      <c r="A1985" s="517">
        <v>149</v>
      </c>
      <c r="B1985" s="485" t="s">
        <v>2292</v>
      </c>
      <c r="C1985" s="476" t="s">
        <v>7402</v>
      </c>
      <c r="D1985" s="464"/>
      <c r="E1985" s="465" t="s">
        <v>2907</v>
      </c>
      <c r="F1985" s="466" t="s">
        <v>2908</v>
      </c>
      <c r="G1985" s="518"/>
      <c r="H1985" s="477">
        <v>45252</v>
      </c>
      <c r="I1985" s="488">
        <f t="shared" si="84"/>
        <v>5676903.6036036033</v>
      </c>
      <c r="J1985" s="488">
        <f t="shared" si="85"/>
        <v>624459.39639639633</v>
      </c>
      <c r="K1985" s="474">
        <f>743750+2155613+3402000</f>
        <v>6301363</v>
      </c>
      <c r="L1985" s="475"/>
    </row>
    <row r="1986" spans="1:12" x14ac:dyDescent="0.2">
      <c r="A1986" s="305">
        <v>150</v>
      </c>
      <c r="B1986" s="469" t="s">
        <v>2293</v>
      </c>
      <c r="C1986" s="476" t="s">
        <v>7334</v>
      </c>
      <c r="D1986" s="464"/>
      <c r="E1986" s="465" t="s">
        <v>3992</v>
      </c>
      <c r="F1986" s="466" t="s">
        <v>2953</v>
      </c>
      <c r="G1986" s="518"/>
      <c r="H1986" s="477">
        <v>45252</v>
      </c>
      <c r="I1986" s="473">
        <f t="shared" si="84"/>
        <v>2901171.1711711711</v>
      </c>
      <c r="J1986" s="473">
        <f t="shared" si="85"/>
        <v>319128.82882882882</v>
      </c>
      <c r="K1986" s="474">
        <f>720300+2500000</f>
        <v>3220300</v>
      </c>
      <c r="L1986" s="475"/>
    </row>
    <row r="1987" spans="1:12" s="824" customFormat="1" x14ac:dyDescent="0.2">
      <c r="A1987" s="821">
        <v>151</v>
      </c>
      <c r="B1987" s="485" t="s">
        <v>2294</v>
      </c>
      <c r="C1987" s="476" t="s">
        <v>7336</v>
      </c>
      <c r="D1987" s="464"/>
      <c r="E1987" s="465" t="s">
        <v>7337</v>
      </c>
      <c r="F1987" s="466" t="s">
        <v>3033</v>
      </c>
      <c r="G1987" s="518"/>
      <c r="H1987" s="477">
        <v>45252</v>
      </c>
      <c r="I1987" s="488">
        <f t="shared" si="84"/>
        <v>1963963.9639639638</v>
      </c>
      <c r="J1987" s="488">
        <f t="shared" si="85"/>
        <v>216036.03603603601</v>
      </c>
      <c r="K1987" s="474">
        <f>1180000+1000000</f>
        <v>2180000</v>
      </c>
      <c r="L1987" s="475"/>
    </row>
    <row r="1988" spans="1:12" s="824" customFormat="1" x14ac:dyDescent="0.2">
      <c r="A1988" s="821">
        <v>152</v>
      </c>
      <c r="B1988" s="822" t="s">
        <v>2315</v>
      </c>
      <c r="C1988" s="476" t="s">
        <v>7371</v>
      </c>
      <c r="D1988" s="725"/>
      <c r="E1988" s="708" t="s">
        <v>6931</v>
      </c>
      <c r="F1988" s="727" t="s">
        <v>3047</v>
      </c>
      <c r="G1988" s="725"/>
      <c r="H1988" s="823">
        <v>45252</v>
      </c>
      <c r="I1988" s="473">
        <f t="shared" si="84"/>
        <v>4548288.2882882878</v>
      </c>
      <c r="J1988" s="473">
        <f t="shared" si="85"/>
        <v>500311.71171171166</v>
      </c>
      <c r="K1988" s="474">
        <f>48600+5000000</f>
        <v>5048600</v>
      </c>
      <c r="L1988" s="475"/>
    </row>
    <row r="1989" spans="1:12" s="824" customFormat="1" x14ac:dyDescent="0.2">
      <c r="A1989" s="821">
        <v>153</v>
      </c>
      <c r="B1989" s="785" t="s">
        <v>2316</v>
      </c>
      <c r="C1989" s="480" t="s">
        <v>7372</v>
      </c>
      <c r="D1989" s="826"/>
      <c r="E1989" s="827" t="s">
        <v>2990</v>
      </c>
      <c r="F1989" s="828" t="s">
        <v>2987</v>
      </c>
      <c r="G1989" s="830"/>
      <c r="H1989" s="829">
        <v>45252</v>
      </c>
      <c r="I1989" s="488">
        <f t="shared" si="84"/>
        <v>1941441.4414414412</v>
      </c>
      <c r="J1989" s="488">
        <f t="shared" si="85"/>
        <v>213558.55855855852</v>
      </c>
      <c r="K1989" s="474">
        <f>1155000+1000000</f>
        <v>2155000</v>
      </c>
      <c r="L1989" s="475"/>
    </row>
    <row r="1990" spans="1:12" s="824" customFormat="1" x14ac:dyDescent="0.2">
      <c r="A1990" s="821">
        <v>154</v>
      </c>
      <c r="B1990" s="822" t="s">
        <v>2317</v>
      </c>
      <c r="C1990" s="476" t="s">
        <v>7373</v>
      </c>
      <c r="D1990" s="725"/>
      <c r="E1990" s="708" t="s">
        <v>3511</v>
      </c>
      <c r="F1990" s="727" t="s">
        <v>3512</v>
      </c>
      <c r="G1990" s="725"/>
      <c r="H1990" s="823">
        <v>45252</v>
      </c>
      <c r="I1990" s="473">
        <f t="shared" si="84"/>
        <v>1834954.9549549548</v>
      </c>
      <c r="J1990" s="473">
        <f t="shared" si="85"/>
        <v>201845.04504504503</v>
      </c>
      <c r="K1990" s="474">
        <f>1036800+1000000</f>
        <v>2036800</v>
      </c>
      <c r="L1990" s="475"/>
    </row>
    <row r="1991" spans="1:12" s="824" customFormat="1" x14ac:dyDescent="0.2">
      <c r="A1991" s="821">
        <v>155</v>
      </c>
      <c r="B1991" s="485" t="s">
        <v>2295</v>
      </c>
      <c r="C1991" s="476" t="s">
        <v>7343</v>
      </c>
      <c r="D1991" s="464"/>
      <c r="E1991" s="465" t="s">
        <v>6909</v>
      </c>
      <c r="F1991" s="466" t="s">
        <v>2886</v>
      </c>
      <c r="G1991" s="518"/>
      <c r="H1991" s="477">
        <v>45253</v>
      </c>
      <c r="I1991" s="488">
        <f t="shared" si="84"/>
        <v>2274111.7117117117</v>
      </c>
      <c r="J1991" s="488">
        <f t="shared" si="85"/>
        <v>250152.28828828828</v>
      </c>
      <c r="K1991" s="474">
        <f>1524264+1000000</f>
        <v>2524264</v>
      </c>
      <c r="L1991" s="475"/>
    </row>
    <row r="1992" spans="1:12" s="824" customFormat="1" x14ac:dyDescent="0.2">
      <c r="A1992" s="821">
        <v>156</v>
      </c>
      <c r="B1992" s="469" t="s">
        <v>2297</v>
      </c>
      <c r="C1992" s="476" t="s">
        <v>7349</v>
      </c>
      <c r="D1992" s="464"/>
      <c r="E1992" s="465" t="s">
        <v>2883</v>
      </c>
      <c r="F1992" s="466" t="s">
        <v>2884</v>
      </c>
      <c r="G1992" s="518"/>
      <c r="H1992" s="477">
        <v>45253</v>
      </c>
      <c r="I1992" s="473">
        <f t="shared" si="84"/>
        <v>2941981.9819819815</v>
      </c>
      <c r="J1992" s="473">
        <f t="shared" si="85"/>
        <v>323618.01801801799</v>
      </c>
      <c r="K1992" s="474">
        <f>765600+2500000</f>
        <v>3265600</v>
      </c>
      <c r="L1992" s="475"/>
    </row>
    <row r="1993" spans="1:12" s="824" customFormat="1" x14ac:dyDescent="0.2">
      <c r="A1993" s="821">
        <v>157</v>
      </c>
      <c r="B1993" s="785" t="s">
        <v>2318</v>
      </c>
      <c r="C1993" s="476" t="s">
        <v>7388</v>
      </c>
      <c r="D1993" s="725"/>
      <c r="E1993" s="708" t="s">
        <v>2968</v>
      </c>
      <c r="F1993" s="727" t="s">
        <v>2969</v>
      </c>
      <c r="G1993" s="725"/>
      <c r="H1993" s="823">
        <v>45253</v>
      </c>
      <c r="I1993" s="488">
        <f t="shared" si="84"/>
        <v>7585090.0900900895</v>
      </c>
      <c r="J1993" s="488">
        <f t="shared" si="85"/>
        <v>834359.90990990982</v>
      </c>
      <c r="K1993" s="474">
        <f>990000+7429450</f>
        <v>8419450</v>
      </c>
      <c r="L1993" s="475"/>
    </row>
    <row r="1994" spans="1:12" s="824" customFormat="1" x14ac:dyDescent="0.2">
      <c r="A1994" s="821">
        <v>158</v>
      </c>
      <c r="B1994" s="469" t="s">
        <v>2296</v>
      </c>
      <c r="C1994" s="476" t="s">
        <v>5471</v>
      </c>
      <c r="D1994" s="464"/>
      <c r="E1994" s="465" t="s">
        <v>2887</v>
      </c>
      <c r="F1994" s="466" t="s">
        <v>2888</v>
      </c>
      <c r="G1994" s="518"/>
      <c r="H1994" s="477">
        <v>45254</v>
      </c>
      <c r="I1994" s="473">
        <f t="shared" si="84"/>
        <v>3012837.8378378376</v>
      </c>
      <c r="J1994" s="473">
        <f t="shared" si="85"/>
        <v>331412.16216216213</v>
      </c>
      <c r="K1994" s="474">
        <v>3344250</v>
      </c>
      <c r="L1994" s="475"/>
    </row>
    <row r="1995" spans="1:12" s="824" customFormat="1" x14ac:dyDescent="0.2">
      <c r="A1995" s="821">
        <v>159</v>
      </c>
      <c r="B1995" s="485" t="s">
        <v>2298</v>
      </c>
      <c r="C1995" s="480" t="s">
        <v>7389</v>
      </c>
      <c r="D1995" s="481"/>
      <c r="E1995" s="482" t="s">
        <v>2934</v>
      </c>
      <c r="F1995" s="483" t="s">
        <v>2935</v>
      </c>
      <c r="G1995" s="513"/>
      <c r="H1995" s="484">
        <v>45254</v>
      </c>
      <c r="I1995" s="488">
        <f t="shared" si="84"/>
        <v>18962432.432432432</v>
      </c>
      <c r="J1995" s="488">
        <f t="shared" si="85"/>
        <v>2085867.5675675676</v>
      </c>
      <c r="K1995" s="474">
        <f>5826450+6855450+8366400</f>
        <v>21048300</v>
      </c>
      <c r="L1995" s="475"/>
    </row>
    <row r="1996" spans="1:12" s="824" customFormat="1" x14ac:dyDescent="0.2">
      <c r="A1996" s="821">
        <v>160</v>
      </c>
      <c r="B1996" s="822" t="s">
        <v>2299</v>
      </c>
      <c r="C1996" s="476" t="s">
        <v>7384</v>
      </c>
      <c r="D1996" s="725"/>
      <c r="E1996" s="708" t="s">
        <v>3082</v>
      </c>
      <c r="F1996" s="727" t="s">
        <v>3061</v>
      </c>
      <c r="G1996" s="725"/>
      <c r="H1996" s="823">
        <v>45254</v>
      </c>
      <c r="I1996" s="473">
        <f t="shared" si="84"/>
        <v>3755855.8558558556</v>
      </c>
      <c r="J1996" s="473">
        <f t="shared" si="85"/>
        <v>413144.14414414414</v>
      </c>
      <c r="K1996" s="474">
        <f>825000+3344000</f>
        <v>4169000</v>
      </c>
      <c r="L1996" s="475"/>
    </row>
    <row r="1997" spans="1:12" s="824" customFormat="1" x14ac:dyDescent="0.2">
      <c r="A1997" s="821">
        <v>161</v>
      </c>
      <c r="B1997" s="785" t="s">
        <v>2301</v>
      </c>
      <c r="C1997" s="476" t="s">
        <v>7391</v>
      </c>
      <c r="D1997" s="725"/>
      <c r="E1997" s="708" t="s">
        <v>2954</v>
      </c>
      <c r="F1997" s="727" t="s">
        <v>2955</v>
      </c>
      <c r="G1997" s="725"/>
      <c r="H1997" s="823">
        <v>45254</v>
      </c>
      <c r="I1997" s="488">
        <f t="shared" si="84"/>
        <v>7825810.81081081</v>
      </c>
      <c r="J1997" s="488">
        <f t="shared" si="85"/>
        <v>860839.18918918911</v>
      </c>
      <c r="K1997" s="474">
        <f>3382050+3576300+1728300</f>
        <v>8686650</v>
      </c>
      <c r="L1997" s="475"/>
    </row>
    <row r="1998" spans="1:12" s="824" customFormat="1" x14ac:dyDescent="0.2">
      <c r="A1998" s="821">
        <v>162</v>
      </c>
      <c r="B1998" s="469" t="s">
        <v>2300</v>
      </c>
      <c r="C1998" s="476" t="s">
        <v>7390</v>
      </c>
      <c r="D1998" s="464"/>
      <c r="E1998" s="465" t="s">
        <v>2948</v>
      </c>
      <c r="F1998" s="466" t="s">
        <v>2892</v>
      </c>
      <c r="G1998" s="464"/>
      <c r="H1998" s="477">
        <v>45255</v>
      </c>
      <c r="I1998" s="473">
        <f t="shared" si="84"/>
        <v>7035243.2432432426</v>
      </c>
      <c r="J1998" s="473">
        <f t="shared" si="85"/>
        <v>773876.75675675669</v>
      </c>
      <c r="K1998" s="474">
        <f>1607760+6201360</f>
        <v>7809120</v>
      </c>
      <c r="L1998" s="475"/>
    </row>
    <row r="1999" spans="1:12" s="824" customFormat="1" x14ac:dyDescent="0.2">
      <c r="A1999" s="821">
        <v>163</v>
      </c>
      <c r="B1999" s="485" t="s">
        <v>2347</v>
      </c>
      <c r="C1999" s="476" t="s">
        <v>7434</v>
      </c>
      <c r="D1999" s="464"/>
      <c r="E1999" s="465" t="s">
        <v>3612</v>
      </c>
      <c r="F1999" s="466" t="s">
        <v>2994</v>
      </c>
      <c r="G1999" s="464"/>
      <c r="H1999" s="477">
        <v>45255</v>
      </c>
      <c r="I1999" s="488">
        <f t="shared" si="84"/>
        <v>40591895.495495491</v>
      </c>
      <c r="J1999" s="488">
        <f t="shared" si="85"/>
        <v>4465108.5045045037</v>
      </c>
      <c r="K1999" s="474">
        <f>45057004</f>
        <v>45057004</v>
      </c>
      <c r="L1999" s="475"/>
    </row>
    <row r="2000" spans="1:12" s="824" customFormat="1" x14ac:dyDescent="0.2">
      <c r="A2000" s="821">
        <v>164</v>
      </c>
      <c r="B2000" s="469" t="s">
        <v>2302</v>
      </c>
      <c r="C2000" s="476" t="s">
        <v>5618</v>
      </c>
      <c r="D2000" s="464"/>
      <c r="E2000" s="465" t="s">
        <v>2910</v>
      </c>
      <c r="F2000" s="466" t="s">
        <v>2851</v>
      </c>
      <c r="G2000" s="464"/>
      <c r="H2000" s="477">
        <v>45257</v>
      </c>
      <c r="I2000" s="473">
        <f t="shared" si="84"/>
        <v>1981981.9819819818</v>
      </c>
      <c r="J2000" s="473">
        <f t="shared" si="85"/>
        <v>218018.01801801799</v>
      </c>
      <c r="K2000" s="474">
        <f>1200000+1000000</f>
        <v>2200000</v>
      </c>
      <c r="L2000" s="475"/>
    </row>
    <row r="2001" spans="1:12" s="824" customFormat="1" x14ac:dyDescent="0.2">
      <c r="A2001" s="821">
        <v>165</v>
      </c>
      <c r="B2001" s="785" t="s">
        <v>2319</v>
      </c>
      <c r="C2001" s="476" t="s">
        <v>7380</v>
      </c>
      <c r="D2001" s="725"/>
      <c r="E2001" s="708" t="s">
        <v>4584</v>
      </c>
      <c r="F2001" s="727" t="s">
        <v>2808</v>
      </c>
      <c r="G2001" s="725"/>
      <c r="H2001" s="823">
        <v>45257</v>
      </c>
      <c r="I2001" s="488">
        <f t="shared" si="84"/>
        <v>544432.43243243243</v>
      </c>
      <c r="J2001" s="488">
        <f t="shared" si="85"/>
        <v>59887.567567567567</v>
      </c>
      <c r="K2001" s="474">
        <f>492000+112320</f>
        <v>604320</v>
      </c>
      <c r="L2001" s="475"/>
    </row>
    <row r="2002" spans="1:12" s="824" customFormat="1" x14ac:dyDescent="0.2">
      <c r="A2002" s="821">
        <v>166</v>
      </c>
      <c r="B2002" s="469" t="s">
        <v>2303</v>
      </c>
      <c r="C2002" s="480" t="s">
        <v>7357</v>
      </c>
      <c r="D2002" s="481"/>
      <c r="E2002" s="482" t="s">
        <v>7358</v>
      </c>
      <c r="F2002" s="483" t="s">
        <v>7359</v>
      </c>
      <c r="G2002" s="513"/>
      <c r="H2002" s="484">
        <v>45258</v>
      </c>
      <c r="I2002" s="473">
        <f t="shared" si="84"/>
        <v>2478468.4684684682</v>
      </c>
      <c r="J2002" s="473">
        <f t="shared" si="85"/>
        <v>272631.53153153148</v>
      </c>
      <c r="K2002" s="474">
        <f>251100+2500000</f>
        <v>2751100</v>
      </c>
      <c r="L2002" s="475"/>
    </row>
    <row r="2003" spans="1:12" s="824" customFormat="1" x14ac:dyDescent="0.2">
      <c r="A2003" s="821">
        <v>167</v>
      </c>
      <c r="B2003" s="485" t="s">
        <v>2304</v>
      </c>
      <c r="C2003" s="476" t="s">
        <v>7404</v>
      </c>
      <c r="D2003" s="464"/>
      <c r="E2003" s="465" t="s">
        <v>2893</v>
      </c>
      <c r="F2003" s="466" t="s">
        <v>2890</v>
      </c>
      <c r="G2003" s="464"/>
      <c r="H2003" s="477">
        <v>45258</v>
      </c>
      <c r="I2003" s="488">
        <f t="shared" si="84"/>
        <v>14229864.864864863</v>
      </c>
      <c r="J2003" s="488">
        <f t="shared" si="85"/>
        <v>1565285.1351351349</v>
      </c>
      <c r="K2003" s="474">
        <f>14298900+1496250</f>
        <v>15795150</v>
      </c>
      <c r="L2003" s="475"/>
    </row>
    <row r="2004" spans="1:12" x14ac:dyDescent="0.2">
      <c r="A2004" s="305">
        <v>168</v>
      </c>
      <c r="B2004" s="822" t="s">
        <v>2320</v>
      </c>
      <c r="C2004" s="476" t="s">
        <v>7381</v>
      </c>
      <c r="D2004" s="725"/>
      <c r="E2004" s="708" t="s">
        <v>2881</v>
      </c>
      <c r="F2004" s="727" t="s">
        <v>2808</v>
      </c>
      <c r="G2004" s="725"/>
      <c r="H2004" s="823">
        <v>45258</v>
      </c>
      <c r="I2004" s="473">
        <f t="shared" si="84"/>
        <v>4650450.4504504502</v>
      </c>
      <c r="J2004" s="473">
        <f t="shared" si="85"/>
        <v>511549.54954954953</v>
      </c>
      <c r="K2004" s="474">
        <f>162000+5000000</f>
        <v>5162000</v>
      </c>
      <c r="L2004" s="475"/>
    </row>
    <row r="2005" spans="1:12" x14ac:dyDescent="0.2">
      <c r="A2005" s="305">
        <v>169</v>
      </c>
      <c r="B2005" s="785" t="s">
        <v>2321</v>
      </c>
      <c r="C2005" s="476" t="s">
        <v>7382</v>
      </c>
      <c r="D2005" s="725"/>
      <c r="E2005" s="708" t="s">
        <v>7383</v>
      </c>
      <c r="F2005" s="727" t="s">
        <v>3061</v>
      </c>
      <c r="G2005" s="725"/>
      <c r="H2005" s="823">
        <v>45258</v>
      </c>
      <c r="I2005" s="488">
        <f t="shared" si="84"/>
        <v>2673873.8738738736</v>
      </c>
      <c r="J2005" s="488">
        <f t="shared" si="85"/>
        <v>294126.1261261261</v>
      </c>
      <c r="K2005" s="474">
        <f>468000+2500000</f>
        <v>2968000</v>
      </c>
      <c r="L2005" s="475"/>
    </row>
    <row r="2006" spans="1:12" x14ac:dyDescent="0.2">
      <c r="A2006" s="305">
        <v>170</v>
      </c>
      <c r="B2006" s="469" t="s">
        <v>2326</v>
      </c>
      <c r="C2006" s="476" t="s">
        <v>7387</v>
      </c>
      <c r="D2006" s="464"/>
      <c r="E2006" s="465" t="s">
        <v>3538</v>
      </c>
      <c r="F2006" s="466" t="s">
        <v>2890</v>
      </c>
      <c r="G2006" s="464"/>
      <c r="H2006" s="477">
        <v>45258</v>
      </c>
      <c r="I2006" s="473">
        <f t="shared" si="84"/>
        <v>3187837.8378378376</v>
      </c>
      <c r="J2006" s="473">
        <f t="shared" si="85"/>
        <v>350662.16216216213</v>
      </c>
      <c r="K2006" s="474">
        <v>3538500</v>
      </c>
      <c r="L2006" s="475"/>
    </row>
    <row r="2007" spans="1:12" x14ac:dyDescent="0.2">
      <c r="A2007" s="305">
        <v>171</v>
      </c>
      <c r="B2007" s="485" t="s">
        <v>2327</v>
      </c>
      <c r="C2007" s="476" t="s">
        <v>7409</v>
      </c>
      <c r="D2007" s="464"/>
      <c r="E2007" s="465" t="s">
        <v>3556</v>
      </c>
      <c r="F2007" s="466" t="s">
        <v>3061</v>
      </c>
      <c r="G2007" s="464"/>
      <c r="H2007" s="477">
        <v>45258</v>
      </c>
      <c r="I2007" s="488">
        <f t="shared" si="84"/>
        <v>10170270.270270269</v>
      </c>
      <c r="J2007" s="488">
        <f t="shared" si="85"/>
        <v>1118729.7297297297</v>
      </c>
      <c r="K2007" s="474">
        <f>4914000+6375000</f>
        <v>11289000</v>
      </c>
      <c r="L2007" s="475"/>
    </row>
    <row r="2008" spans="1:12" x14ac:dyDescent="0.2">
      <c r="A2008" s="305">
        <v>172</v>
      </c>
      <c r="B2008" s="469" t="s">
        <v>2328</v>
      </c>
      <c r="C2008" s="476" t="s">
        <v>7396</v>
      </c>
      <c r="D2008" s="464"/>
      <c r="E2008" s="465" t="s">
        <v>4341</v>
      </c>
      <c r="F2008" s="466" t="s">
        <v>2946</v>
      </c>
      <c r="G2008" s="464"/>
      <c r="H2008" s="477">
        <v>45259</v>
      </c>
      <c r="I2008" s="473">
        <f t="shared" si="84"/>
        <v>3133333.333333333</v>
      </c>
      <c r="J2008" s="473">
        <f t="shared" si="85"/>
        <v>344666.66666666663</v>
      </c>
      <c r="K2008" s="474">
        <f>978000+2500000</f>
        <v>3478000</v>
      </c>
      <c r="L2008" s="475"/>
    </row>
    <row r="2009" spans="1:12" x14ac:dyDescent="0.2">
      <c r="A2009" s="305">
        <v>173</v>
      </c>
      <c r="B2009" s="485" t="s">
        <v>2305</v>
      </c>
      <c r="C2009" s="476" t="s">
        <v>7360</v>
      </c>
      <c r="D2009" s="464"/>
      <c r="E2009" s="465" t="s">
        <v>2927</v>
      </c>
      <c r="F2009" s="466" t="s">
        <v>2928</v>
      </c>
      <c r="G2009" s="464"/>
      <c r="H2009" s="477">
        <v>45260</v>
      </c>
      <c r="I2009" s="488">
        <f t="shared" ref="I2009:I2026" si="86">K2009/1.11</f>
        <v>2461621.6216216213</v>
      </c>
      <c r="J2009" s="488">
        <f t="shared" ref="J2009:J2026" si="87">I2009*11%</f>
        <v>270778.37837837834</v>
      </c>
      <c r="K2009" s="474">
        <v>2732400</v>
      </c>
      <c r="L2009" s="475"/>
    </row>
    <row r="2010" spans="1:12" x14ac:dyDescent="0.2">
      <c r="A2010" s="305">
        <v>174</v>
      </c>
      <c r="B2010" s="469" t="s">
        <v>2306</v>
      </c>
      <c r="C2010" s="476" t="s">
        <v>7361</v>
      </c>
      <c r="D2010" s="464"/>
      <c r="E2010" s="465" t="s">
        <v>5866</v>
      </c>
      <c r="F2010" s="466" t="s">
        <v>3609</v>
      </c>
      <c r="G2010" s="464"/>
      <c r="H2010" s="477">
        <v>45260</v>
      </c>
      <c r="I2010" s="473">
        <f t="shared" si="86"/>
        <v>2918918.9189189188</v>
      </c>
      <c r="J2010" s="473">
        <f t="shared" si="87"/>
        <v>321081.08108108107</v>
      </c>
      <c r="K2010" s="474">
        <f>540000+2700000</f>
        <v>3240000</v>
      </c>
      <c r="L2010" s="475"/>
    </row>
    <row r="2011" spans="1:12" x14ac:dyDescent="0.2">
      <c r="A2011" s="305">
        <v>175</v>
      </c>
      <c r="B2011" s="485" t="s">
        <v>2308</v>
      </c>
      <c r="C2011" s="476" t="s">
        <v>7430</v>
      </c>
      <c r="D2011" s="464"/>
      <c r="E2011" s="465" t="s">
        <v>7304</v>
      </c>
      <c r="F2011" s="466" t="s">
        <v>3609</v>
      </c>
      <c r="G2011" s="464"/>
      <c r="H2011" s="477">
        <v>45260</v>
      </c>
      <c r="I2011" s="488">
        <f t="shared" si="86"/>
        <v>3891441.441441441</v>
      </c>
      <c r="J2011" s="488">
        <f t="shared" si="87"/>
        <v>428058.55855855852</v>
      </c>
      <c r="K2011" s="474">
        <f>346500+2143750+708750+1120500</f>
        <v>4319500</v>
      </c>
      <c r="L2011" s="475"/>
    </row>
    <row r="2012" spans="1:12" x14ac:dyDescent="0.2">
      <c r="A2012" s="305">
        <v>176</v>
      </c>
      <c r="B2012" s="822" t="s">
        <v>2322</v>
      </c>
      <c r="C2012" s="476" t="s">
        <v>7385</v>
      </c>
      <c r="D2012" s="725"/>
      <c r="E2012" s="708" t="s">
        <v>2943</v>
      </c>
      <c r="F2012" s="727" t="s">
        <v>2944</v>
      </c>
      <c r="G2012" s="725"/>
      <c r="H2012" s="823">
        <v>45260</v>
      </c>
      <c r="I2012" s="473">
        <f t="shared" si="86"/>
        <v>3013513.5135135134</v>
      </c>
      <c r="J2012" s="473">
        <f t="shared" si="87"/>
        <v>331486.48648648645</v>
      </c>
      <c r="K2012" s="474">
        <f>845000+2500000</f>
        <v>3345000</v>
      </c>
      <c r="L2012" s="475"/>
    </row>
    <row r="2013" spans="1:12" x14ac:dyDescent="0.2">
      <c r="A2013" s="305">
        <v>177</v>
      </c>
      <c r="B2013" s="785" t="s">
        <v>2323</v>
      </c>
      <c r="C2013" s="476" t="s">
        <v>7386</v>
      </c>
      <c r="D2013" s="725"/>
      <c r="E2013" s="708" t="s">
        <v>2941</v>
      </c>
      <c r="F2013" s="727" t="s">
        <v>2785</v>
      </c>
      <c r="G2013" s="725"/>
      <c r="H2013" s="823">
        <v>45260</v>
      </c>
      <c r="I2013" s="488">
        <f t="shared" si="86"/>
        <v>2217513.5135135134</v>
      </c>
      <c r="J2013" s="488">
        <f t="shared" si="87"/>
        <v>243926.48648648648</v>
      </c>
      <c r="K2013" s="474">
        <f>1308000+1153440</f>
        <v>2461440</v>
      </c>
      <c r="L2013" s="475"/>
    </row>
    <row r="2014" spans="1:12" x14ac:dyDescent="0.2">
      <c r="A2014" s="305">
        <v>178</v>
      </c>
      <c r="B2014" s="822" t="s">
        <v>2324</v>
      </c>
      <c r="C2014" s="480" t="s">
        <v>5473</v>
      </c>
      <c r="D2014" s="826"/>
      <c r="E2014" s="827" t="s">
        <v>2956</v>
      </c>
      <c r="F2014" s="828" t="s">
        <v>2755</v>
      </c>
      <c r="G2014" s="830"/>
      <c r="H2014" s="829">
        <v>45260</v>
      </c>
      <c r="I2014" s="473">
        <f t="shared" si="86"/>
        <v>2113783.7837837837</v>
      </c>
      <c r="J2014" s="473">
        <f t="shared" si="87"/>
        <v>232516.21621621621</v>
      </c>
      <c r="K2014" s="474">
        <v>2346300</v>
      </c>
      <c r="L2014" s="475"/>
    </row>
    <row r="2015" spans="1:12" s="824" customFormat="1" x14ac:dyDescent="0.2">
      <c r="A2015" s="821">
        <v>179</v>
      </c>
      <c r="B2015" s="785" t="s">
        <v>2325</v>
      </c>
      <c r="C2015" s="476" t="s">
        <v>7394</v>
      </c>
      <c r="D2015" s="725"/>
      <c r="E2015" s="708" t="s">
        <v>2936</v>
      </c>
      <c r="F2015" s="727" t="s">
        <v>2922</v>
      </c>
      <c r="G2015" s="725"/>
      <c r="H2015" s="823">
        <v>45260</v>
      </c>
      <c r="I2015" s="488">
        <f t="shared" si="86"/>
        <v>6304540.5405405397</v>
      </c>
      <c r="J2015" s="488">
        <f t="shared" si="87"/>
        <v>693499.45945945941</v>
      </c>
      <c r="K2015" s="474">
        <f>2037240+4960800</f>
        <v>6998040</v>
      </c>
      <c r="L2015" s="475"/>
    </row>
    <row r="2016" spans="1:12" s="824" customFormat="1" x14ac:dyDescent="0.2">
      <c r="A2016" s="821">
        <v>180</v>
      </c>
      <c r="B2016" s="469" t="s">
        <v>2329</v>
      </c>
      <c r="C2016" s="476" t="s">
        <v>7397</v>
      </c>
      <c r="D2016" s="464"/>
      <c r="E2016" s="465" t="s">
        <v>2907</v>
      </c>
      <c r="F2016" s="466" t="s">
        <v>2953</v>
      </c>
      <c r="G2016" s="464"/>
      <c r="H2016" s="477">
        <v>45260</v>
      </c>
      <c r="I2016" s="473">
        <f t="shared" si="86"/>
        <v>2961711.7117117113</v>
      </c>
      <c r="J2016" s="473">
        <f t="shared" si="87"/>
        <v>325788.28828828823</v>
      </c>
      <c r="K2016" s="474">
        <f>787500+2500000</f>
        <v>3287500</v>
      </c>
      <c r="L2016" s="475"/>
    </row>
    <row r="2017" spans="1:12" x14ac:dyDescent="0.2">
      <c r="A2017" s="305">
        <v>181</v>
      </c>
      <c r="B2017" s="485" t="s">
        <v>2330</v>
      </c>
      <c r="C2017" s="476" t="s">
        <v>7400</v>
      </c>
      <c r="D2017" s="464"/>
      <c r="E2017" s="465" t="s">
        <v>2921</v>
      </c>
      <c r="F2017" s="466" t="s">
        <v>2922</v>
      </c>
      <c r="G2017" s="464"/>
      <c r="H2017" s="477">
        <v>45260</v>
      </c>
      <c r="I2017" s="488">
        <f t="shared" si="86"/>
        <v>2594594.5945945946</v>
      </c>
      <c r="J2017" s="488">
        <f t="shared" si="87"/>
        <v>285405.40540540538</v>
      </c>
      <c r="K2017" s="474">
        <f>380000+2500000</f>
        <v>2880000</v>
      </c>
      <c r="L2017" s="475"/>
    </row>
    <row r="2018" spans="1:12" x14ac:dyDescent="0.2">
      <c r="A2018" s="305">
        <v>182</v>
      </c>
      <c r="B2018" s="469" t="s">
        <v>2331</v>
      </c>
      <c r="C2018" s="476" t="s">
        <v>2761</v>
      </c>
      <c r="D2018" s="464"/>
      <c r="E2018" s="465" t="s">
        <v>4043</v>
      </c>
      <c r="F2018" s="466" t="s">
        <v>2940</v>
      </c>
      <c r="G2018" s="464"/>
      <c r="H2018" s="477">
        <v>45260</v>
      </c>
      <c r="I2018" s="473">
        <f t="shared" si="86"/>
        <v>4620855.8558558552</v>
      </c>
      <c r="J2018" s="473">
        <f t="shared" si="87"/>
        <v>508294.14414414408</v>
      </c>
      <c r="K2018" s="474">
        <f>129150+5000000</f>
        <v>5129150</v>
      </c>
      <c r="L2018" s="475"/>
    </row>
    <row r="2019" spans="1:12" x14ac:dyDescent="0.2">
      <c r="A2019" s="305">
        <v>183</v>
      </c>
      <c r="B2019" s="485" t="s">
        <v>2332</v>
      </c>
      <c r="C2019" s="476" t="s">
        <v>7403</v>
      </c>
      <c r="D2019" s="464"/>
      <c r="E2019" s="465" t="s">
        <v>2907</v>
      </c>
      <c r="F2019" s="466" t="s">
        <v>2858</v>
      </c>
      <c r="G2019" s="464"/>
      <c r="H2019" s="477">
        <v>45260</v>
      </c>
      <c r="I2019" s="488">
        <f t="shared" si="86"/>
        <v>2103040.5405405401</v>
      </c>
      <c r="J2019" s="488">
        <f t="shared" si="87"/>
        <v>231334.45945945941</v>
      </c>
      <c r="K2019" s="474">
        <f>1334375+1000000</f>
        <v>2334375</v>
      </c>
      <c r="L2019" s="475"/>
    </row>
    <row r="2020" spans="1:12" x14ac:dyDescent="0.2">
      <c r="A2020" s="305">
        <v>184</v>
      </c>
      <c r="B2020" s="469" t="s">
        <v>2333</v>
      </c>
      <c r="C2020" s="476" t="s">
        <v>7405</v>
      </c>
      <c r="D2020" s="464"/>
      <c r="E2020" s="465" t="s">
        <v>2914</v>
      </c>
      <c r="F2020" s="466" t="s">
        <v>2915</v>
      </c>
      <c r="G2020" s="464"/>
      <c r="H2020" s="477">
        <v>45260</v>
      </c>
      <c r="I2020" s="473">
        <f t="shared" si="86"/>
        <v>4572612.6126126125</v>
      </c>
      <c r="J2020" s="473">
        <f t="shared" si="87"/>
        <v>502987.3873873874</v>
      </c>
      <c r="K2020" s="474">
        <f>75600+5000000</f>
        <v>5075600</v>
      </c>
      <c r="L2020" s="475"/>
    </row>
    <row r="2021" spans="1:12" x14ac:dyDescent="0.2">
      <c r="A2021" s="305">
        <v>185</v>
      </c>
      <c r="B2021" s="485" t="s">
        <v>2334</v>
      </c>
      <c r="C2021" s="476" t="s">
        <v>7406</v>
      </c>
      <c r="D2021" s="464"/>
      <c r="E2021" s="465" t="s">
        <v>2907</v>
      </c>
      <c r="F2021" s="466" t="s">
        <v>2908</v>
      </c>
      <c r="G2021" s="464"/>
      <c r="H2021" s="477">
        <v>45260</v>
      </c>
      <c r="I2021" s="488">
        <f t="shared" si="86"/>
        <v>2546846.8468468464</v>
      </c>
      <c r="J2021" s="488">
        <f t="shared" si="87"/>
        <v>280153.15315315308</v>
      </c>
      <c r="K2021" s="474">
        <f>1827000+1000000</f>
        <v>2827000</v>
      </c>
      <c r="L2021" s="475"/>
    </row>
    <row r="2022" spans="1:12" x14ac:dyDescent="0.2">
      <c r="A2022" s="305">
        <v>186</v>
      </c>
      <c r="B2022" s="469" t="s">
        <v>2335</v>
      </c>
      <c r="C2022" s="480" t="s">
        <v>7407</v>
      </c>
      <c r="D2022" s="481"/>
      <c r="E2022" s="482" t="s">
        <v>3454</v>
      </c>
      <c r="F2022" s="483" t="s">
        <v>2944</v>
      </c>
      <c r="G2022" s="513"/>
      <c r="H2022" s="484">
        <v>45260</v>
      </c>
      <c r="I2022" s="473">
        <f t="shared" si="86"/>
        <v>2086036.0360360357</v>
      </c>
      <c r="J2022" s="473">
        <f t="shared" si="87"/>
        <v>229463.96396396394</v>
      </c>
      <c r="K2022" s="474">
        <f>1315500+1000000</f>
        <v>2315500</v>
      </c>
      <c r="L2022" s="475"/>
    </row>
    <row r="2023" spans="1:12" x14ac:dyDescent="0.2">
      <c r="A2023" s="305">
        <v>187</v>
      </c>
      <c r="B2023" s="485" t="s">
        <v>2336</v>
      </c>
      <c r="C2023" s="476" t="s">
        <v>2778</v>
      </c>
      <c r="D2023" s="464"/>
      <c r="E2023" s="465" t="s">
        <v>2954</v>
      </c>
      <c r="F2023" s="466" t="s">
        <v>2955</v>
      </c>
      <c r="G2023" s="464"/>
      <c r="H2023" s="477">
        <v>45260</v>
      </c>
      <c r="I2023" s="488">
        <f t="shared" si="86"/>
        <v>3079954.9549549548</v>
      </c>
      <c r="J2023" s="488">
        <f t="shared" si="87"/>
        <v>338795.04504504503</v>
      </c>
      <c r="K2023" s="474">
        <f>918750+2500000</f>
        <v>3418750</v>
      </c>
      <c r="L2023" s="475"/>
    </row>
    <row r="2024" spans="1:12" x14ac:dyDescent="0.2">
      <c r="A2024" s="305">
        <v>188</v>
      </c>
      <c r="B2024" s="822" t="s">
        <v>2338</v>
      </c>
      <c r="C2024" s="476" t="s">
        <v>7413</v>
      </c>
      <c r="D2024" s="725"/>
      <c r="E2024" s="708" t="s">
        <v>7411</v>
      </c>
      <c r="F2024" s="727" t="s">
        <v>2994</v>
      </c>
      <c r="G2024" s="725"/>
      <c r="H2024" s="823">
        <v>45260</v>
      </c>
      <c r="I2024" s="473">
        <f t="shared" si="86"/>
        <v>11335391.891891891</v>
      </c>
      <c r="J2024" s="473">
        <f t="shared" si="87"/>
        <v>1246893.1081081079</v>
      </c>
      <c r="K2024" s="832">
        <f>1553500+2535627.5+3087740+2063595+2341822.5+1000000</f>
        <v>12582285</v>
      </c>
      <c r="L2024" s="475"/>
    </row>
    <row r="2025" spans="1:12" x14ac:dyDescent="0.2">
      <c r="A2025" s="305">
        <v>189</v>
      </c>
      <c r="B2025" s="485" t="s">
        <v>2340</v>
      </c>
      <c r="C2025" s="480" t="s">
        <v>7415</v>
      </c>
      <c r="D2025" s="481"/>
      <c r="E2025" s="482" t="s">
        <v>3605</v>
      </c>
      <c r="F2025" s="483" t="s">
        <v>2915</v>
      </c>
      <c r="G2025" s="513"/>
      <c r="H2025" s="484">
        <v>45260</v>
      </c>
      <c r="I2025" s="488">
        <f t="shared" si="86"/>
        <v>27448118.918918915</v>
      </c>
      <c r="J2025" s="488">
        <f t="shared" si="87"/>
        <v>3019293.0810810807</v>
      </c>
      <c r="K2025" s="832">
        <v>30467412</v>
      </c>
      <c r="L2025" s="475"/>
    </row>
    <row r="2026" spans="1:12" x14ac:dyDescent="0.2">
      <c r="A2026" s="305">
        <v>190</v>
      </c>
      <c r="B2026" s="469" t="s">
        <v>2348</v>
      </c>
      <c r="C2026" s="480" t="s">
        <v>7435</v>
      </c>
      <c r="D2026" s="481"/>
      <c r="E2026" s="465" t="s">
        <v>3612</v>
      </c>
      <c r="F2026" s="466" t="s">
        <v>3609</v>
      </c>
      <c r="G2026" s="513"/>
      <c r="H2026" s="484">
        <v>45260</v>
      </c>
      <c r="I2026" s="473">
        <f t="shared" si="86"/>
        <v>40591895.495495491</v>
      </c>
      <c r="J2026" s="473">
        <f t="shared" si="87"/>
        <v>4465108.5045045037</v>
      </c>
      <c r="K2026" s="474">
        <v>45057004</v>
      </c>
      <c r="L2026" s="475"/>
    </row>
    <row r="2027" spans="1:12" ht="18" x14ac:dyDescent="0.25">
      <c r="B2027" s="490" t="s">
        <v>213</v>
      </c>
      <c r="C2027" s="491"/>
      <c r="D2027" s="492"/>
      <c r="E2027" s="493"/>
      <c r="F2027" s="494"/>
      <c r="G2027" s="514"/>
      <c r="H2027" s="495"/>
      <c r="I2027" s="496">
        <f>SUM(I1837:I2026)</f>
        <v>1565448072.0720718</v>
      </c>
      <c r="J2027" s="496">
        <f>SUM(J1837:J2026)</f>
        <v>172199287.92792791</v>
      </c>
      <c r="K2027" s="496">
        <f>SUM(K1837:K2026)</f>
        <v>1737647360</v>
      </c>
      <c r="L2027" s="497"/>
    </row>
    <row r="2028" spans="1:12" s="352" customFormat="1" ht="20.25" x14ac:dyDescent="0.3">
      <c r="A2028" s="305"/>
      <c r="B2028" s="498" t="s">
        <v>109</v>
      </c>
      <c r="C2028" s="486"/>
      <c r="D2028" s="487"/>
      <c r="E2028" s="487"/>
      <c r="F2028" s="487"/>
      <c r="G2028" s="487"/>
      <c r="H2028" s="499"/>
      <c r="I2028" s="500"/>
      <c r="J2028" s="500"/>
      <c r="K2028" s="501"/>
      <c r="L2028" s="502"/>
    </row>
    <row r="2029" spans="1:12" s="844" customFormat="1" x14ac:dyDescent="0.2">
      <c r="A2029" s="833">
        <v>1</v>
      </c>
      <c r="B2029" s="834" t="s">
        <v>2349</v>
      </c>
      <c r="C2029" s="835" t="s">
        <v>7482</v>
      </c>
      <c r="D2029" s="836" t="s">
        <v>2783</v>
      </c>
      <c r="E2029" s="837" t="s">
        <v>2784</v>
      </c>
      <c r="F2029" s="838" t="s">
        <v>2785</v>
      </c>
      <c r="G2029" s="839" t="s">
        <v>6772</v>
      </c>
      <c r="H2029" s="840">
        <v>45264</v>
      </c>
      <c r="I2029" s="841">
        <f>K2029/1.11</f>
        <v>14331081.081081079</v>
      </c>
      <c r="J2029" s="841">
        <f>I2029*11%</f>
        <v>1576418.9189189188</v>
      </c>
      <c r="K2029" s="842">
        <f>[2]Invoice!$K$34</f>
        <v>15907500</v>
      </c>
      <c r="L2029" s="843"/>
    </row>
    <row r="2030" spans="1:12" s="844" customFormat="1" x14ac:dyDescent="0.2">
      <c r="A2030" s="833">
        <v>2</v>
      </c>
      <c r="B2030" s="845" t="s">
        <v>2350</v>
      </c>
      <c r="C2030" s="846" t="s">
        <v>7483</v>
      </c>
      <c r="D2030" s="847" t="s">
        <v>3672</v>
      </c>
      <c r="E2030" s="848" t="s">
        <v>3673</v>
      </c>
      <c r="F2030" s="849" t="s">
        <v>3052</v>
      </c>
      <c r="G2030" s="839" t="s">
        <v>6773</v>
      </c>
      <c r="H2030" s="840">
        <v>45265</v>
      </c>
      <c r="I2030" s="850">
        <f>K2030/1.11</f>
        <v>11091891.891891891</v>
      </c>
      <c r="J2030" s="850">
        <f>I2030*11%</f>
        <v>1220108.1081081079</v>
      </c>
      <c r="K2030" s="851">
        <f>[2]Invoice!$K$148</f>
        <v>12312000</v>
      </c>
      <c r="L2030" s="852"/>
    </row>
    <row r="2031" spans="1:12" s="844" customFormat="1" x14ac:dyDescent="0.2">
      <c r="A2031" s="833">
        <v>3</v>
      </c>
      <c r="B2031" s="834" t="s">
        <v>2351</v>
      </c>
      <c r="C2031" s="853" t="s">
        <v>7484</v>
      </c>
      <c r="D2031" s="836" t="s">
        <v>2758</v>
      </c>
      <c r="E2031" s="854" t="s">
        <v>2759</v>
      </c>
      <c r="F2031" s="838" t="s">
        <v>2755</v>
      </c>
      <c r="G2031" s="839" t="s">
        <v>6774</v>
      </c>
      <c r="H2031" s="840">
        <v>45266</v>
      </c>
      <c r="I2031" s="841">
        <f t="shared" ref="I2031:I2094" si="88">K2031/1.11</f>
        <v>16034294.594594594</v>
      </c>
      <c r="J2031" s="841">
        <f t="shared" ref="J2031:J2094" si="89">I2031*11%</f>
        <v>1763772.4054054054</v>
      </c>
      <c r="K2031" s="851">
        <f>[2]Invoice!$K$262</f>
        <v>17798067</v>
      </c>
      <c r="L2031" s="852"/>
    </row>
    <row r="2032" spans="1:12" s="844" customFormat="1" x14ac:dyDescent="0.2">
      <c r="A2032" s="833">
        <v>4</v>
      </c>
      <c r="B2032" s="845" t="s">
        <v>2352</v>
      </c>
      <c r="C2032" s="853" t="s">
        <v>7485</v>
      </c>
      <c r="D2032" s="855" t="s">
        <v>2826</v>
      </c>
      <c r="E2032" s="856" t="s">
        <v>2827</v>
      </c>
      <c r="F2032" s="857" t="s">
        <v>2828</v>
      </c>
      <c r="G2032" s="839" t="s">
        <v>6775</v>
      </c>
      <c r="H2032" s="840">
        <v>45266</v>
      </c>
      <c r="I2032" s="850">
        <f t="shared" si="88"/>
        <v>3632432.4324324322</v>
      </c>
      <c r="J2032" s="850">
        <f t="shared" si="89"/>
        <v>399567.56756756752</v>
      </c>
      <c r="K2032" s="851">
        <f>[2]Invoice!$K$376</f>
        <v>4032000</v>
      </c>
      <c r="L2032" s="852"/>
    </row>
    <row r="2033" spans="1:12" s="844" customFormat="1" x14ac:dyDescent="0.2">
      <c r="A2033" s="833">
        <v>5</v>
      </c>
      <c r="B2033" s="834" t="s">
        <v>2353</v>
      </c>
      <c r="C2033" s="853" t="s">
        <v>7486</v>
      </c>
      <c r="D2033" s="836" t="s">
        <v>2856</v>
      </c>
      <c r="E2033" s="837" t="s">
        <v>2857</v>
      </c>
      <c r="F2033" s="838" t="s">
        <v>2858</v>
      </c>
      <c r="G2033" s="839" t="s">
        <v>6776</v>
      </c>
      <c r="H2033" s="840">
        <v>45266</v>
      </c>
      <c r="I2033" s="841">
        <f t="shared" si="88"/>
        <v>768648.64864864852</v>
      </c>
      <c r="J2033" s="841">
        <f t="shared" si="89"/>
        <v>84551.351351351332</v>
      </c>
      <c r="K2033" s="851">
        <f>[2]Invoice!$K$490</f>
        <v>853200</v>
      </c>
      <c r="L2033" s="852"/>
    </row>
    <row r="2034" spans="1:12" s="844" customFormat="1" x14ac:dyDescent="0.2">
      <c r="A2034" s="833">
        <v>6</v>
      </c>
      <c r="B2034" s="845" t="s">
        <v>2354</v>
      </c>
      <c r="C2034" s="853" t="s">
        <v>7487</v>
      </c>
      <c r="D2034" s="836" t="s">
        <v>4915</v>
      </c>
      <c r="E2034" s="858" t="s">
        <v>4916</v>
      </c>
      <c r="F2034" s="858" t="s">
        <v>2823</v>
      </c>
      <c r="G2034" s="839" t="s">
        <v>6777</v>
      </c>
      <c r="H2034" s="840">
        <v>45267</v>
      </c>
      <c r="I2034" s="850">
        <f t="shared" si="88"/>
        <v>728378.37837837834</v>
      </c>
      <c r="J2034" s="850">
        <f t="shared" si="89"/>
        <v>80121.621621621613</v>
      </c>
      <c r="K2034" s="851">
        <f>[2]Invoice!$K$604</f>
        <v>808500</v>
      </c>
      <c r="L2034" s="852"/>
    </row>
    <row r="2035" spans="1:12" s="844" customFormat="1" x14ac:dyDescent="0.2">
      <c r="A2035" s="833">
        <v>7</v>
      </c>
      <c r="B2035" s="834" t="s">
        <v>2355</v>
      </c>
      <c r="C2035" s="853" t="s">
        <v>7488</v>
      </c>
      <c r="D2035" s="836" t="s">
        <v>2758</v>
      </c>
      <c r="E2035" s="854" t="s">
        <v>2759</v>
      </c>
      <c r="F2035" s="838" t="s">
        <v>2755</v>
      </c>
      <c r="G2035" s="839" t="s">
        <v>6778</v>
      </c>
      <c r="H2035" s="840">
        <v>45269</v>
      </c>
      <c r="I2035" s="841">
        <f t="shared" si="88"/>
        <v>3046670.2702702698</v>
      </c>
      <c r="J2035" s="841">
        <f t="shared" si="89"/>
        <v>335133.7297297297</v>
      </c>
      <c r="K2035" s="851">
        <f>[2]Invoice!$K$718</f>
        <v>3381804</v>
      </c>
      <c r="L2035" s="852"/>
    </row>
    <row r="2036" spans="1:12" s="844" customFormat="1" x14ac:dyDescent="0.2">
      <c r="A2036" s="833">
        <v>8</v>
      </c>
      <c r="B2036" s="845" t="s">
        <v>2356</v>
      </c>
      <c r="C2036" s="853" t="s">
        <v>7489</v>
      </c>
      <c r="D2036" s="836" t="s">
        <v>2783</v>
      </c>
      <c r="E2036" s="837" t="s">
        <v>2784</v>
      </c>
      <c r="F2036" s="838" t="s">
        <v>2785</v>
      </c>
      <c r="G2036" s="839" t="s">
        <v>6779</v>
      </c>
      <c r="H2036" s="840">
        <v>45269</v>
      </c>
      <c r="I2036" s="850">
        <f t="shared" si="88"/>
        <v>4937837.8378378376</v>
      </c>
      <c r="J2036" s="850">
        <f t="shared" si="89"/>
        <v>543162.16216216213</v>
      </c>
      <c r="K2036" s="851">
        <f>[2]Invoice!$K$832</f>
        <v>5481000</v>
      </c>
      <c r="L2036" s="852"/>
    </row>
    <row r="2037" spans="1:12" s="844" customFormat="1" x14ac:dyDescent="0.2">
      <c r="A2037" s="833">
        <v>9</v>
      </c>
      <c r="B2037" s="834" t="s">
        <v>2357</v>
      </c>
      <c r="C2037" s="853" t="s">
        <v>7490</v>
      </c>
      <c r="D2037" s="836" t="s">
        <v>4915</v>
      </c>
      <c r="E2037" s="858" t="s">
        <v>4916</v>
      </c>
      <c r="F2037" s="858" t="s">
        <v>2823</v>
      </c>
      <c r="G2037" s="839" t="s">
        <v>6780</v>
      </c>
      <c r="H2037" s="840">
        <v>45271</v>
      </c>
      <c r="I2037" s="841">
        <f t="shared" si="88"/>
        <v>6416351.3513513505</v>
      </c>
      <c r="J2037" s="841">
        <f t="shared" si="89"/>
        <v>705798.64864864852</v>
      </c>
      <c r="K2037" s="851">
        <f>[2]Invoice!$K$946</f>
        <v>7122150</v>
      </c>
      <c r="L2037" s="852"/>
    </row>
    <row r="2038" spans="1:12" s="844" customFormat="1" ht="14.25" customHeight="1" x14ac:dyDescent="0.2">
      <c r="A2038" s="833">
        <v>10</v>
      </c>
      <c r="B2038" s="845" t="s">
        <v>2358</v>
      </c>
      <c r="C2038" s="853" t="s">
        <v>7491</v>
      </c>
      <c r="D2038" s="836" t="s">
        <v>7492</v>
      </c>
      <c r="E2038" s="837" t="s">
        <v>7493</v>
      </c>
      <c r="F2038" s="838" t="s">
        <v>2912</v>
      </c>
      <c r="G2038" s="839" t="s">
        <v>6781</v>
      </c>
      <c r="H2038" s="840">
        <v>45271</v>
      </c>
      <c r="I2038" s="850">
        <f t="shared" si="88"/>
        <v>296667.53153153148</v>
      </c>
      <c r="J2038" s="850">
        <f t="shared" si="89"/>
        <v>32633.428468468464</v>
      </c>
      <c r="K2038" s="851">
        <f>[2]Invoice!$K$1060</f>
        <v>329300.95999999996</v>
      </c>
      <c r="L2038" s="852"/>
    </row>
    <row r="2039" spans="1:12" s="844" customFormat="1" ht="14.25" customHeight="1" x14ac:dyDescent="0.2">
      <c r="A2039" s="833">
        <v>11</v>
      </c>
      <c r="B2039" s="834" t="s">
        <v>2359</v>
      </c>
      <c r="C2039" s="853" t="s">
        <v>7494</v>
      </c>
      <c r="D2039" s="836" t="s">
        <v>2758</v>
      </c>
      <c r="E2039" s="854" t="s">
        <v>2759</v>
      </c>
      <c r="F2039" s="838" t="s">
        <v>2755</v>
      </c>
      <c r="G2039" s="839" t="s">
        <v>6782</v>
      </c>
      <c r="H2039" s="840">
        <v>45271</v>
      </c>
      <c r="I2039" s="841">
        <f t="shared" si="88"/>
        <v>4774644.1441441439</v>
      </c>
      <c r="J2039" s="841">
        <f t="shared" si="89"/>
        <v>525210.85585585586</v>
      </c>
      <c r="K2039" s="851">
        <f>[2]Invoice!$K$1174</f>
        <v>5299855</v>
      </c>
      <c r="L2039" s="852"/>
    </row>
    <row r="2040" spans="1:12" s="844" customFormat="1" x14ac:dyDescent="0.2">
      <c r="A2040" s="833">
        <v>12</v>
      </c>
      <c r="B2040" s="845" t="s">
        <v>2360</v>
      </c>
      <c r="C2040" s="853" t="s">
        <v>5277</v>
      </c>
      <c r="D2040" s="836" t="s">
        <v>2783</v>
      </c>
      <c r="E2040" s="837" t="s">
        <v>2784</v>
      </c>
      <c r="F2040" s="838" t="s">
        <v>2785</v>
      </c>
      <c r="G2040" s="839" t="s">
        <v>6783</v>
      </c>
      <c r="H2040" s="840">
        <v>45271</v>
      </c>
      <c r="I2040" s="850">
        <f t="shared" si="88"/>
        <v>16042675.675675673</v>
      </c>
      <c r="J2040" s="850">
        <f t="shared" si="89"/>
        <v>1764694.324324324</v>
      </c>
      <c r="K2040" s="851">
        <f>[2]Invoice!$K$1288</f>
        <v>17807370</v>
      </c>
      <c r="L2040" s="852"/>
    </row>
    <row r="2041" spans="1:12" s="844" customFormat="1" ht="14.25" customHeight="1" x14ac:dyDescent="0.2">
      <c r="A2041" s="833">
        <v>13</v>
      </c>
      <c r="B2041" s="834" t="s">
        <v>2361</v>
      </c>
      <c r="C2041" s="853" t="s">
        <v>7495</v>
      </c>
      <c r="D2041" s="855" t="s">
        <v>4931</v>
      </c>
      <c r="E2041" s="856" t="s">
        <v>4940</v>
      </c>
      <c r="F2041" s="857" t="s">
        <v>2808</v>
      </c>
      <c r="G2041" s="839" t="s">
        <v>6784</v>
      </c>
      <c r="H2041" s="840">
        <v>45271</v>
      </c>
      <c r="I2041" s="841">
        <f t="shared" si="88"/>
        <v>15724554.054054054</v>
      </c>
      <c r="J2041" s="841">
        <f t="shared" si="89"/>
        <v>1729700.9459459458</v>
      </c>
      <c r="K2041" s="851">
        <f>[2]Invoice!$K$1402</f>
        <v>17454255</v>
      </c>
      <c r="L2041" s="852"/>
    </row>
    <row r="2042" spans="1:12" s="844" customFormat="1" ht="14.25" customHeight="1" x14ac:dyDescent="0.2">
      <c r="A2042" s="833">
        <v>14</v>
      </c>
      <c r="B2042" s="845" t="s">
        <v>2362</v>
      </c>
      <c r="C2042" s="853" t="s">
        <v>2985</v>
      </c>
      <c r="D2042" s="836" t="s">
        <v>2783</v>
      </c>
      <c r="E2042" s="837" t="s">
        <v>2784</v>
      </c>
      <c r="F2042" s="838" t="s">
        <v>2785</v>
      </c>
      <c r="G2042" s="839" t="s">
        <v>6785</v>
      </c>
      <c r="H2042" s="840">
        <v>45273</v>
      </c>
      <c r="I2042" s="850">
        <f t="shared" si="88"/>
        <v>14558108.108108107</v>
      </c>
      <c r="J2042" s="850">
        <f t="shared" si="89"/>
        <v>1601391.8918918918</v>
      </c>
      <c r="K2042" s="851">
        <f>[2]Invoice!$K$1516</f>
        <v>16159500</v>
      </c>
      <c r="L2042" s="852"/>
    </row>
    <row r="2043" spans="1:12" s="844" customFormat="1" x14ac:dyDescent="0.2">
      <c r="A2043" s="833">
        <v>15</v>
      </c>
      <c r="B2043" s="834" t="s">
        <v>2363</v>
      </c>
      <c r="C2043" s="853" t="s">
        <v>7496</v>
      </c>
      <c r="D2043" s="855" t="s">
        <v>4931</v>
      </c>
      <c r="E2043" s="856" t="s">
        <v>4940</v>
      </c>
      <c r="F2043" s="857" t="s">
        <v>2808</v>
      </c>
      <c r="G2043" s="839" t="s">
        <v>6786</v>
      </c>
      <c r="H2043" s="840">
        <v>45275</v>
      </c>
      <c r="I2043" s="841">
        <f t="shared" si="88"/>
        <v>9334263.5135135129</v>
      </c>
      <c r="J2043" s="841">
        <f t="shared" si="89"/>
        <v>1026768.9864864864</v>
      </c>
      <c r="K2043" s="851">
        <f>[2]Invoice!$K$1630</f>
        <v>10361032.5</v>
      </c>
      <c r="L2043" s="852"/>
    </row>
    <row r="2044" spans="1:12" s="844" customFormat="1" x14ac:dyDescent="0.2">
      <c r="A2044" s="833">
        <v>16</v>
      </c>
      <c r="B2044" s="845" t="s">
        <v>2364</v>
      </c>
      <c r="C2044" s="853" t="s">
        <v>7497</v>
      </c>
      <c r="D2044" s="836" t="s">
        <v>2783</v>
      </c>
      <c r="E2044" s="837" t="s">
        <v>2784</v>
      </c>
      <c r="F2044" s="838" t="s">
        <v>2785</v>
      </c>
      <c r="G2044" s="839" t="s">
        <v>6788</v>
      </c>
      <c r="H2044" s="840">
        <v>45275</v>
      </c>
      <c r="I2044" s="850">
        <f t="shared" si="88"/>
        <v>28930337.837837834</v>
      </c>
      <c r="J2044" s="850">
        <f t="shared" si="89"/>
        <v>3182337.1621621619</v>
      </c>
      <c r="K2044" s="851">
        <f>[2]Invoice!$K$1744</f>
        <v>32112675</v>
      </c>
      <c r="L2044" s="852"/>
    </row>
    <row r="2045" spans="1:12" s="844" customFormat="1" x14ac:dyDescent="0.2">
      <c r="A2045" s="833">
        <v>17</v>
      </c>
      <c r="B2045" s="834" t="s">
        <v>2365</v>
      </c>
      <c r="C2045" s="853" t="s">
        <v>7498</v>
      </c>
      <c r="D2045" s="836" t="s">
        <v>2783</v>
      </c>
      <c r="E2045" s="837" t="s">
        <v>2784</v>
      </c>
      <c r="F2045" s="838" t="s">
        <v>2785</v>
      </c>
      <c r="G2045" s="839" t="s">
        <v>6787</v>
      </c>
      <c r="H2045" s="840">
        <v>45273</v>
      </c>
      <c r="I2045" s="841">
        <f t="shared" si="88"/>
        <v>7535168.9189189179</v>
      </c>
      <c r="J2045" s="841">
        <f t="shared" si="89"/>
        <v>828868.58108108095</v>
      </c>
      <c r="K2045" s="851">
        <f>[2]Invoice!$K$1858</f>
        <v>8364037.5</v>
      </c>
      <c r="L2045" s="852"/>
    </row>
    <row r="2046" spans="1:12" s="844" customFormat="1" x14ac:dyDescent="0.2">
      <c r="A2046" s="833">
        <v>18</v>
      </c>
      <c r="B2046" s="845" t="s">
        <v>2366</v>
      </c>
      <c r="C2046" s="853" t="s">
        <v>7499</v>
      </c>
      <c r="D2046" s="836" t="s">
        <v>4508</v>
      </c>
      <c r="E2046" s="858" t="s">
        <v>4509</v>
      </c>
      <c r="F2046" s="858" t="s">
        <v>2792</v>
      </c>
      <c r="G2046" s="839" t="s">
        <v>6789</v>
      </c>
      <c r="H2046" s="840">
        <v>45273</v>
      </c>
      <c r="I2046" s="850">
        <f t="shared" si="88"/>
        <v>3172702.7027027025</v>
      </c>
      <c r="J2046" s="850">
        <f t="shared" si="89"/>
        <v>348997.29729729728</v>
      </c>
      <c r="K2046" s="851">
        <f>[2]Invoice!$K$1972</f>
        <v>3521700</v>
      </c>
      <c r="L2046" s="852"/>
    </row>
    <row r="2047" spans="1:12" s="844" customFormat="1" x14ac:dyDescent="0.2">
      <c r="A2047" s="833">
        <v>19</v>
      </c>
      <c r="B2047" s="834" t="s">
        <v>2367</v>
      </c>
      <c r="C2047" s="853" t="s">
        <v>7500</v>
      </c>
      <c r="D2047" s="836" t="s">
        <v>4915</v>
      </c>
      <c r="E2047" s="858" t="s">
        <v>4916</v>
      </c>
      <c r="F2047" s="858" t="s">
        <v>2823</v>
      </c>
      <c r="G2047" s="839" t="s">
        <v>6790</v>
      </c>
      <c r="H2047" s="859">
        <v>45275</v>
      </c>
      <c r="I2047" s="841">
        <f t="shared" si="88"/>
        <v>12514864.864864863</v>
      </c>
      <c r="J2047" s="841">
        <f t="shared" si="89"/>
        <v>1376635.1351351349</v>
      </c>
      <c r="K2047" s="851">
        <f>[2]Invoice!$K$2086</f>
        <v>13891500</v>
      </c>
      <c r="L2047" s="852"/>
    </row>
    <row r="2048" spans="1:12" s="844" customFormat="1" x14ac:dyDescent="0.2">
      <c r="A2048" s="833">
        <v>20</v>
      </c>
      <c r="B2048" s="845" t="s">
        <v>2368</v>
      </c>
      <c r="C2048" s="853" t="s">
        <v>7501</v>
      </c>
      <c r="D2048" s="836" t="s">
        <v>4508</v>
      </c>
      <c r="E2048" s="858" t="s">
        <v>4509</v>
      </c>
      <c r="F2048" s="858" t="s">
        <v>2792</v>
      </c>
      <c r="G2048" s="839" t="s">
        <v>6791</v>
      </c>
      <c r="H2048" s="859">
        <v>45276</v>
      </c>
      <c r="I2048" s="850">
        <f t="shared" si="88"/>
        <v>1189189.1891891891</v>
      </c>
      <c r="J2048" s="850">
        <f t="shared" si="89"/>
        <v>130810.8108108108</v>
      </c>
      <c r="K2048" s="851">
        <f>[2]Invoice!$K$2200</f>
        <v>1320000</v>
      </c>
      <c r="L2048" s="852"/>
    </row>
    <row r="2049" spans="1:12" s="844" customFormat="1" x14ac:dyDescent="0.2">
      <c r="A2049" s="833">
        <v>21</v>
      </c>
      <c r="B2049" s="834" t="s">
        <v>2369</v>
      </c>
      <c r="C2049" s="853" t="s">
        <v>7502</v>
      </c>
      <c r="D2049" s="836" t="s">
        <v>2783</v>
      </c>
      <c r="E2049" s="837" t="s">
        <v>2784</v>
      </c>
      <c r="F2049" s="838" t="s">
        <v>2785</v>
      </c>
      <c r="G2049" s="839" t="s">
        <v>6792</v>
      </c>
      <c r="H2049" s="859">
        <v>45276</v>
      </c>
      <c r="I2049" s="841">
        <f t="shared" si="88"/>
        <v>9014864.8648648635</v>
      </c>
      <c r="J2049" s="841">
        <f t="shared" si="89"/>
        <v>991635.13513513503</v>
      </c>
      <c r="K2049" s="851">
        <f>[2]Invoice!$K$2314</f>
        <v>10006500</v>
      </c>
      <c r="L2049" s="852"/>
    </row>
    <row r="2050" spans="1:12" s="844" customFormat="1" x14ac:dyDescent="0.2">
      <c r="A2050" s="833">
        <v>22</v>
      </c>
      <c r="B2050" s="845" t="s">
        <v>2370</v>
      </c>
      <c r="C2050" s="853" t="s">
        <v>3315</v>
      </c>
      <c r="D2050" s="836" t="s">
        <v>2758</v>
      </c>
      <c r="E2050" s="854" t="s">
        <v>2759</v>
      </c>
      <c r="F2050" s="838" t="s">
        <v>2755</v>
      </c>
      <c r="G2050" s="839" t="s">
        <v>6793</v>
      </c>
      <c r="H2050" s="859">
        <v>45276</v>
      </c>
      <c r="I2050" s="850">
        <f t="shared" si="88"/>
        <v>1309189.1891891891</v>
      </c>
      <c r="J2050" s="850">
        <f t="shared" si="89"/>
        <v>144010.8108108108</v>
      </c>
      <c r="K2050" s="851">
        <f>[2]Invoice!$K$2428</f>
        <v>1453200</v>
      </c>
      <c r="L2050" s="852"/>
    </row>
    <row r="2051" spans="1:12" s="844" customFormat="1" x14ac:dyDescent="0.2">
      <c r="A2051" s="833">
        <v>23</v>
      </c>
      <c r="B2051" s="834" t="s">
        <v>2371</v>
      </c>
      <c r="C2051" s="853" t="s">
        <v>7503</v>
      </c>
      <c r="D2051" s="855" t="s">
        <v>4931</v>
      </c>
      <c r="E2051" s="856" t="s">
        <v>4940</v>
      </c>
      <c r="F2051" s="857" t="s">
        <v>2808</v>
      </c>
      <c r="G2051" s="839" t="s">
        <v>6794</v>
      </c>
      <c r="H2051" s="859">
        <v>45278</v>
      </c>
      <c r="I2051" s="841">
        <f t="shared" si="88"/>
        <v>27393506.756756753</v>
      </c>
      <c r="J2051" s="841">
        <f t="shared" si="89"/>
        <v>3013285.7432432426</v>
      </c>
      <c r="K2051" s="851">
        <f>[2]Invoice!$K$2542</f>
        <v>30406792.5</v>
      </c>
      <c r="L2051" s="852"/>
    </row>
    <row r="2052" spans="1:12" s="844" customFormat="1" x14ac:dyDescent="0.2">
      <c r="A2052" s="833">
        <v>24</v>
      </c>
      <c r="B2052" s="845" t="s">
        <v>2372</v>
      </c>
      <c r="C2052" s="853" t="s">
        <v>7504</v>
      </c>
      <c r="D2052" s="847" t="s">
        <v>3672</v>
      </c>
      <c r="E2052" s="848" t="s">
        <v>3673</v>
      </c>
      <c r="F2052" s="849" t="s">
        <v>3052</v>
      </c>
      <c r="G2052" s="839" t="s">
        <v>6795</v>
      </c>
      <c r="H2052" s="859">
        <v>45279</v>
      </c>
      <c r="I2052" s="850">
        <f t="shared" si="88"/>
        <v>3697297.297297297</v>
      </c>
      <c r="J2052" s="850">
        <f t="shared" si="89"/>
        <v>406702.70270270266</v>
      </c>
      <c r="K2052" s="851">
        <f>[2]Invoice!$K$2656</f>
        <v>4104000</v>
      </c>
      <c r="L2052" s="852"/>
    </row>
    <row r="2053" spans="1:12" s="844" customFormat="1" x14ac:dyDescent="0.2">
      <c r="A2053" s="833">
        <v>25</v>
      </c>
      <c r="B2053" s="834" t="s">
        <v>2373</v>
      </c>
      <c r="C2053" s="853" t="s">
        <v>7505</v>
      </c>
      <c r="D2053" s="836" t="s">
        <v>2849</v>
      </c>
      <c r="E2053" s="858" t="s">
        <v>2850</v>
      </c>
      <c r="F2053" s="858" t="s">
        <v>2851</v>
      </c>
      <c r="G2053" s="839" t="s">
        <v>6796</v>
      </c>
      <c r="H2053" s="859">
        <v>45279</v>
      </c>
      <c r="I2053" s="841">
        <f t="shared" si="88"/>
        <v>2169441.4414414414</v>
      </c>
      <c r="J2053" s="841">
        <f t="shared" si="89"/>
        <v>238638.55855855855</v>
      </c>
      <c r="K2053" s="851">
        <f>[2]Invoice!$K$2770</f>
        <v>2408080</v>
      </c>
      <c r="L2053" s="852"/>
    </row>
    <row r="2054" spans="1:12" s="860" customFormat="1" x14ac:dyDescent="0.2">
      <c r="A2054" s="833">
        <v>26</v>
      </c>
      <c r="B2054" s="845" t="s">
        <v>2374</v>
      </c>
      <c r="C2054" s="853" t="s">
        <v>7506</v>
      </c>
      <c r="D2054" s="836" t="s">
        <v>2849</v>
      </c>
      <c r="E2054" s="858" t="s">
        <v>2850</v>
      </c>
      <c r="F2054" s="858" t="s">
        <v>2851</v>
      </c>
      <c r="G2054" s="839" t="s">
        <v>6797</v>
      </c>
      <c r="H2054" s="859">
        <v>45279</v>
      </c>
      <c r="I2054" s="850">
        <f t="shared" si="88"/>
        <v>559765.76576576568</v>
      </c>
      <c r="J2054" s="850">
        <f t="shared" si="89"/>
        <v>61574.234234234224</v>
      </c>
      <c r="K2054" s="851">
        <f>[2]Invoice!$K$2884</f>
        <v>621340</v>
      </c>
      <c r="L2054" s="852"/>
    </row>
    <row r="2055" spans="1:12" s="860" customFormat="1" x14ac:dyDescent="0.2">
      <c r="A2055" s="833">
        <v>27</v>
      </c>
      <c r="B2055" s="834" t="s">
        <v>2375</v>
      </c>
      <c r="C2055" s="853" t="s">
        <v>7507</v>
      </c>
      <c r="D2055" s="836" t="s">
        <v>2758</v>
      </c>
      <c r="E2055" s="854" t="s">
        <v>2759</v>
      </c>
      <c r="F2055" s="838" t="s">
        <v>2755</v>
      </c>
      <c r="G2055" s="839" t="s">
        <v>6798</v>
      </c>
      <c r="H2055" s="859">
        <v>45280</v>
      </c>
      <c r="I2055" s="841">
        <f t="shared" si="88"/>
        <v>14494594.594594594</v>
      </c>
      <c r="J2055" s="841">
        <f t="shared" si="89"/>
        <v>1594405.4054054054</v>
      </c>
      <c r="K2055" s="851">
        <f>[2]Invoice!$K$2998</f>
        <v>16089000</v>
      </c>
      <c r="L2055" s="852"/>
    </row>
    <row r="2056" spans="1:12" s="860" customFormat="1" x14ac:dyDescent="0.2">
      <c r="A2056" s="833">
        <v>28</v>
      </c>
      <c r="B2056" s="845" t="s">
        <v>2376</v>
      </c>
      <c r="C2056" s="853" t="s">
        <v>7508</v>
      </c>
      <c r="D2056" s="855" t="s">
        <v>2790</v>
      </c>
      <c r="E2056" s="856" t="s">
        <v>2791</v>
      </c>
      <c r="F2056" s="857" t="s">
        <v>2792</v>
      </c>
      <c r="G2056" s="839" t="s">
        <v>6799</v>
      </c>
      <c r="H2056" s="859">
        <v>45280</v>
      </c>
      <c r="I2056" s="850">
        <f t="shared" si="88"/>
        <v>2501531.5315315314</v>
      </c>
      <c r="J2056" s="850">
        <f t="shared" si="89"/>
        <v>275168.46846846846</v>
      </c>
      <c r="K2056" s="851">
        <f>[2]Invoice!$K$3112</f>
        <v>2776700</v>
      </c>
      <c r="L2056" s="852"/>
    </row>
    <row r="2057" spans="1:12" s="860" customFormat="1" x14ac:dyDescent="0.2">
      <c r="A2057" s="833">
        <v>29</v>
      </c>
      <c r="B2057" s="834" t="s">
        <v>2377</v>
      </c>
      <c r="C2057" s="853" t="s">
        <v>7509</v>
      </c>
      <c r="D2057" s="836" t="s">
        <v>2758</v>
      </c>
      <c r="E2057" s="854" t="s">
        <v>2759</v>
      </c>
      <c r="F2057" s="838" t="s">
        <v>2755</v>
      </c>
      <c r="G2057" s="839" t="s">
        <v>6800</v>
      </c>
      <c r="H2057" s="859">
        <v>45280</v>
      </c>
      <c r="I2057" s="841">
        <f t="shared" si="88"/>
        <v>8752864.8648648635</v>
      </c>
      <c r="J2057" s="841">
        <f t="shared" si="89"/>
        <v>962815.13513513503</v>
      </c>
      <c r="K2057" s="851">
        <f>[2]Invoice!$K$3226</f>
        <v>9715680</v>
      </c>
      <c r="L2057" s="852"/>
    </row>
    <row r="2058" spans="1:12" s="860" customFormat="1" x14ac:dyDescent="0.2">
      <c r="A2058" s="833">
        <v>30</v>
      </c>
      <c r="B2058" s="845" t="s">
        <v>2378</v>
      </c>
      <c r="C2058" s="853" t="s">
        <v>7510</v>
      </c>
      <c r="D2058" s="855" t="s">
        <v>4931</v>
      </c>
      <c r="E2058" s="856" t="s">
        <v>4940</v>
      </c>
      <c r="F2058" s="857" t="s">
        <v>2808</v>
      </c>
      <c r="G2058" s="839" t="s">
        <v>6801</v>
      </c>
      <c r="H2058" s="859">
        <v>45282</v>
      </c>
      <c r="I2058" s="850">
        <f t="shared" si="88"/>
        <v>5580608.1081081079</v>
      </c>
      <c r="J2058" s="850">
        <f t="shared" si="89"/>
        <v>613866.89189189184</v>
      </c>
      <c r="K2058" s="851">
        <f>[2]Invoice!$K$3340</f>
        <v>6194475</v>
      </c>
      <c r="L2058" s="852"/>
    </row>
    <row r="2059" spans="1:12" s="860" customFormat="1" x14ac:dyDescent="0.2">
      <c r="A2059" s="833">
        <v>31</v>
      </c>
      <c r="B2059" s="834" t="s">
        <v>2379</v>
      </c>
      <c r="C2059" s="853" t="s">
        <v>2812</v>
      </c>
      <c r="D2059" s="836" t="s">
        <v>2871</v>
      </c>
      <c r="E2059" s="837" t="s">
        <v>2872</v>
      </c>
      <c r="F2059" s="838" t="s">
        <v>2873</v>
      </c>
      <c r="G2059" s="839" t="s">
        <v>6802</v>
      </c>
      <c r="H2059" s="859">
        <v>45282</v>
      </c>
      <c r="I2059" s="841">
        <f t="shared" si="88"/>
        <v>674774.77477477468</v>
      </c>
      <c r="J2059" s="841">
        <f t="shared" si="89"/>
        <v>74225.225225225222</v>
      </c>
      <c r="K2059" s="851">
        <f>[2]Invoice!$K$3454</f>
        <v>749000</v>
      </c>
      <c r="L2059" s="852"/>
    </row>
    <row r="2060" spans="1:12" s="860" customFormat="1" x14ac:dyDescent="0.2">
      <c r="A2060" s="833">
        <v>32</v>
      </c>
      <c r="B2060" s="845" t="s">
        <v>2380</v>
      </c>
      <c r="C2060" s="853" t="s">
        <v>7534</v>
      </c>
      <c r="D2060" s="836" t="s">
        <v>2806</v>
      </c>
      <c r="E2060" s="837" t="s">
        <v>2807</v>
      </c>
      <c r="F2060" s="838" t="s">
        <v>2808</v>
      </c>
      <c r="G2060" s="839" t="s">
        <v>6803</v>
      </c>
      <c r="H2060" s="859">
        <v>45287</v>
      </c>
      <c r="I2060" s="850">
        <f t="shared" si="88"/>
        <v>11091891.891891891</v>
      </c>
      <c r="J2060" s="850">
        <f t="shared" si="89"/>
        <v>1220108.1081081079</v>
      </c>
      <c r="K2060" s="851">
        <f>[2]Invoice!$K$3568</f>
        <v>12312000</v>
      </c>
      <c r="L2060" s="852"/>
    </row>
    <row r="2061" spans="1:12" s="860" customFormat="1" x14ac:dyDescent="0.2">
      <c r="A2061" s="833">
        <v>33</v>
      </c>
      <c r="B2061" s="834" t="s">
        <v>2381</v>
      </c>
      <c r="C2061" s="853" t="s">
        <v>2844</v>
      </c>
      <c r="D2061" s="855" t="s">
        <v>2790</v>
      </c>
      <c r="E2061" s="856" t="s">
        <v>2791</v>
      </c>
      <c r="F2061" s="857" t="s">
        <v>2792</v>
      </c>
      <c r="G2061" s="839" t="s">
        <v>6804</v>
      </c>
      <c r="H2061" s="859">
        <v>45287</v>
      </c>
      <c r="I2061" s="841">
        <f t="shared" si="88"/>
        <v>3832036.0360360355</v>
      </c>
      <c r="J2061" s="841">
        <f t="shared" si="89"/>
        <v>421523.96396396391</v>
      </c>
      <c r="K2061" s="851">
        <f>[2]Invoice!$K$3682</f>
        <v>4253560</v>
      </c>
      <c r="L2061" s="861"/>
    </row>
    <row r="2062" spans="1:12" s="521" customFormat="1" x14ac:dyDescent="0.2">
      <c r="A2062" s="517">
        <v>34</v>
      </c>
      <c r="B2062" s="469" t="s">
        <v>2382</v>
      </c>
      <c r="C2062" s="476" t="s">
        <v>7606</v>
      </c>
      <c r="D2062" s="511" t="s">
        <v>2773</v>
      </c>
      <c r="E2062" s="465" t="s">
        <v>2774</v>
      </c>
      <c r="F2062" s="510" t="s">
        <v>2755</v>
      </c>
      <c r="G2062" s="518" t="s">
        <v>6805</v>
      </c>
      <c r="H2062" s="477">
        <v>45288</v>
      </c>
      <c r="I2062" s="473">
        <f t="shared" si="88"/>
        <v>3047351.351351351</v>
      </c>
      <c r="J2062" s="473">
        <f t="shared" si="89"/>
        <v>335208.64864864864</v>
      </c>
      <c r="K2062" s="474">
        <f>[2]Invoice!$K$3796</f>
        <v>3382560</v>
      </c>
      <c r="L2062" s="475"/>
    </row>
    <row r="2063" spans="1:12" s="521" customFormat="1" x14ac:dyDescent="0.2">
      <c r="A2063" s="517">
        <v>35</v>
      </c>
      <c r="B2063" s="485" t="s">
        <v>2383</v>
      </c>
      <c r="C2063" s="476"/>
      <c r="D2063" s="464"/>
      <c r="E2063" s="471"/>
      <c r="F2063" s="471"/>
      <c r="G2063" s="518" t="s">
        <v>6806</v>
      </c>
      <c r="H2063" s="477"/>
      <c r="I2063" s="488">
        <f t="shared" si="88"/>
        <v>0</v>
      </c>
      <c r="J2063" s="488">
        <f t="shared" si="89"/>
        <v>0</v>
      </c>
      <c r="K2063" s="474">
        <f>[2]Invoice!$K$3910</f>
        <v>0</v>
      </c>
      <c r="L2063" s="475"/>
    </row>
    <row r="2064" spans="1:12" s="521" customFormat="1" x14ac:dyDescent="0.2">
      <c r="A2064" s="517">
        <v>36</v>
      </c>
      <c r="B2064" s="469" t="s">
        <v>2384</v>
      </c>
      <c r="C2064" s="476"/>
      <c r="D2064" s="464"/>
      <c r="E2064" s="465"/>
      <c r="F2064" s="466"/>
      <c r="G2064" s="518" t="s">
        <v>6807</v>
      </c>
      <c r="H2064" s="477"/>
      <c r="I2064" s="473">
        <f t="shared" si="88"/>
        <v>0</v>
      </c>
      <c r="J2064" s="473">
        <f t="shared" si="89"/>
        <v>0</v>
      </c>
      <c r="K2064" s="474">
        <f>[2]Invoice!$K$4024</f>
        <v>0</v>
      </c>
      <c r="L2064" s="475"/>
    </row>
    <row r="2065" spans="1:12" s="521" customFormat="1" x14ac:dyDescent="0.2">
      <c r="A2065" s="517">
        <v>37</v>
      </c>
      <c r="B2065" s="485" t="s">
        <v>2385</v>
      </c>
      <c r="C2065" s="476"/>
      <c r="D2065" s="464"/>
      <c r="E2065" s="465"/>
      <c r="F2065" s="466"/>
      <c r="G2065" s="518" t="s">
        <v>6808</v>
      </c>
      <c r="H2065" s="477"/>
      <c r="I2065" s="488">
        <f t="shared" si="88"/>
        <v>0</v>
      </c>
      <c r="J2065" s="488">
        <f t="shared" si="89"/>
        <v>0</v>
      </c>
      <c r="K2065" s="474">
        <f>[2]Invoice!$K$4138</f>
        <v>0</v>
      </c>
      <c r="L2065" s="475"/>
    </row>
    <row r="2066" spans="1:12" s="521" customFormat="1" x14ac:dyDescent="0.2">
      <c r="A2066" s="517">
        <v>38</v>
      </c>
      <c r="B2066" s="469" t="s">
        <v>2386</v>
      </c>
      <c r="C2066" s="476"/>
      <c r="D2066" s="464"/>
      <c r="E2066" s="471"/>
      <c r="F2066" s="471"/>
      <c r="G2066" s="518" t="s">
        <v>6809</v>
      </c>
      <c r="H2066" s="477"/>
      <c r="I2066" s="473">
        <f t="shared" si="88"/>
        <v>0</v>
      </c>
      <c r="J2066" s="473">
        <f t="shared" si="89"/>
        <v>0</v>
      </c>
      <c r="K2066" s="474">
        <f>[2]Invoice!$K$4252</f>
        <v>0</v>
      </c>
      <c r="L2066" s="475"/>
    </row>
    <row r="2067" spans="1:12" s="521" customFormat="1" x14ac:dyDescent="0.2">
      <c r="A2067" s="517">
        <v>39</v>
      </c>
      <c r="B2067" s="485" t="s">
        <v>2387</v>
      </c>
      <c r="C2067" s="476"/>
      <c r="D2067" s="464"/>
      <c r="E2067" s="465"/>
      <c r="F2067" s="466"/>
      <c r="G2067" s="518" t="s">
        <v>6810</v>
      </c>
      <c r="H2067" s="477"/>
      <c r="I2067" s="488">
        <f t="shared" si="88"/>
        <v>0</v>
      </c>
      <c r="J2067" s="488">
        <f t="shared" si="89"/>
        <v>0</v>
      </c>
      <c r="K2067" s="474">
        <f>[2]Invoice!$K$4366</f>
        <v>0</v>
      </c>
      <c r="L2067" s="475"/>
    </row>
    <row r="2068" spans="1:12" s="521" customFormat="1" x14ac:dyDescent="0.2">
      <c r="A2068" s="517">
        <v>40</v>
      </c>
      <c r="B2068" s="469" t="s">
        <v>2388</v>
      </c>
      <c r="C2068" s="476"/>
      <c r="D2068" s="487"/>
      <c r="E2068" s="503"/>
      <c r="F2068" s="504"/>
      <c r="G2068" s="518" t="s">
        <v>6811</v>
      </c>
      <c r="H2068" s="477"/>
      <c r="I2068" s="473">
        <f t="shared" si="88"/>
        <v>0</v>
      </c>
      <c r="J2068" s="473">
        <f t="shared" si="89"/>
        <v>0</v>
      </c>
      <c r="K2068" s="474">
        <f>[2]Invoice!$K$4480</f>
        <v>0</v>
      </c>
      <c r="L2068" s="475"/>
    </row>
    <row r="2069" spans="1:12" s="521" customFormat="1" x14ac:dyDescent="0.2">
      <c r="A2069" s="517">
        <v>41</v>
      </c>
      <c r="B2069" s="485" t="s">
        <v>2389</v>
      </c>
      <c r="C2069" s="476"/>
      <c r="D2069" s="464"/>
      <c r="E2069" s="471"/>
      <c r="F2069" s="471"/>
      <c r="G2069" s="518" t="s">
        <v>6812</v>
      </c>
      <c r="H2069" s="477"/>
      <c r="I2069" s="488">
        <f t="shared" si="88"/>
        <v>0</v>
      </c>
      <c r="J2069" s="488">
        <f t="shared" si="89"/>
        <v>0</v>
      </c>
      <c r="K2069" s="474"/>
      <c r="L2069" s="475"/>
    </row>
    <row r="2070" spans="1:12" s="521" customFormat="1" x14ac:dyDescent="0.2">
      <c r="A2070" s="517">
        <v>42</v>
      </c>
      <c r="B2070" s="469" t="s">
        <v>2390</v>
      </c>
      <c r="C2070" s="476"/>
      <c r="D2070" s="464"/>
      <c r="E2070" s="465"/>
      <c r="F2070" s="466"/>
      <c r="G2070" s="518" t="s">
        <v>6813</v>
      </c>
      <c r="H2070" s="477"/>
      <c r="I2070" s="473">
        <f t="shared" si="88"/>
        <v>0</v>
      </c>
      <c r="J2070" s="473">
        <f t="shared" si="89"/>
        <v>0</v>
      </c>
      <c r="K2070" s="474"/>
      <c r="L2070" s="475"/>
    </row>
    <row r="2071" spans="1:12" s="521" customFormat="1" x14ac:dyDescent="0.2">
      <c r="A2071" s="517">
        <v>43</v>
      </c>
      <c r="B2071" s="485" t="s">
        <v>2391</v>
      </c>
      <c r="C2071" s="476"/>
      <c r="D2071" s="464"/>
      <c r="E2071" s="465"/>
      <c r="F2071" s="466"/>
      <c r="G2071" s="518" t="s">
        <v>6814</v>
      </c>
      <c r="H2071" s="477"/>
      <c r="I2071" s="488">
        <f t="shared" si="88"/>
        <v>0</v>
      </c>
      <c r="J2071" s="488">
        <f t="shared" si="89"/>
        <v>0</v>
      </c>
      <c r="K2071" s="474"/>
      <c r="L2071" s="475"/>
    </row>
    <row r="2072" spans="1:12" x14ac:dyDescent="0.2">
      <c r="A2072" s="305">
        <v>44</v>
      </c>
      <c r="B2072" s="469" t="s">
        <v>2392</v>
      </c>
      <c r="C2072" s="476"/>
      <c r="D2072" s="464"/>
      <c r="E2072" s="465"/>
      <c r="F2072" s="466"/>
      <c r="G2072" s="518" t="s">
        <v>6815</v>
      </c>
      <c r="H2072" s="477"/>
      <c r="I2072" s="473">
        <f t="shared" si="88"/>
        <v>0</v>
      </c>
      <c r="J2072" s="473">
        <f t="shared" si="89"/>
        <v>0</v>
      </c>
      <c r="K2072" s="474"/>
      <c r="L2072" s="475"/>
    </row>
    <row r="2073" spans="1:12" x14ac:dyDescent="0.2">
      <c r="A2073" s="305">
        <v>45</v>
      </c>
      <c r="B2073" s="485" t="s">
        <v>2393</v>
      </c>
      <c r="C2073" s="476"/>
      <c r="D2073" s="464"/>
      <c r="E2073" s="465"/>
      <c r="F2073" s="466"/>
      <c r="G2073" s="518" t="s">
        <v>6816</v>
      </c>
      <c r="H2073" s="477"/>
      <c r="I2073" s="488">
        <f t="shared" si="88"/>
        <v>0</v>
      </c>
      <c r="J2073" s="488">
        <f t="shared" si="89"/>
        <v>0</v>
      </c>
      <c r="K2073" s="474"/>
      <c r="L2073" s="475"/>
    </row>
    <row r="2074" spans="1:12" x14ac:dyDescent="0.2">
      <c r="A2074" s="305">
        <v>46</v>
      </c>
      <c r="B2074" s="469" t="s">
        <v>2394</v>
      </c>
      <c r="C2074" s="476"/>
      <c r="D2074" s="464"/>
      <c r="E2074" s="465"/>
      <c r="F2074" s="466"/>
      <c r="G2074" s="518" t="s">
        <v>6817</v>
      </c>
      <c r="H2074" s="477"/>
      <c r="I2074" s="473">
        <f t="shared" si="88"/>
        <v>0</v>
      </c>
      <c r="J2074" s="473">
        <f t="shared" si="89"/>
        <v>0</v>
      </c>
      <c r="K2074" s="474"/>
      <c r="L2074" s="475"/>
    </row>
    <row r="2075" spans="1:12" x14ac:dyDescent="0.2">
      <c r="A2075" s="305">
        <v>47</v>
      </c>
      <c r="B2075" s="485" t="s">
        <v>2395</v>
      </c>
      <c r="C2075" s="476"/>
      <c r="D2075" s="464"/>
      <c r="E2075" s="465"/>
      <c r="F2075" s="466"/>
      <c r="G2075" s="518" t="s">
        <v>6818</v>
      </c>
      <c r="H2075" s="477"/>
      <c r="I2075" s="488">
        <f t="shared" si="88"/>
        <v>0</v>
      </c>
      <c r="J2075" s="488">
        <f t="shared" si="89"/>
        <v>0</v>
      </c>
      <c r="K2075" s="474"/>
      <c r="L2075" s="475"/>
    </row>
    <row r="2076" spans="1:12" x14ac:dyDescent="0.2">
      <c r="A2076" s="305">
        <v>48</v>
      </c>
      <c r="B2076" s="469" t="s">
        <v>2396</v>
      </c>
      <c r="C2076" s="476"/>
      <c r="D2076" s="464"/>
      <c r="E2076" s="465"/>
      <c r="F2076" s="466"/>
      <c r="G2076" s="518" t="s">
        <v>6819</v>
      </c>
      <c r="H2076" s="477"/>
      <c r="I2076" s="473">
        <f t="shared" si="88"/>
        <v>0</v>
      </c>
      <c r="J2076" s="473">
        <f t="shared" si="89"/>
        <v>0</v>
      </c>
      <c r="K2076" s="474"/>
      <c r="L2076" s="475"/>
    </row>
    <row r="2077" spans="1:12" x14ac:dyDescent="0.2">
      <c r="A2077" s="305">
        <v>49</v>
      </c>
      <c r="B2077" s="485" t="s">
        <v>2397</v>
      </c>
      <c r="C2077" s="476"/>
      <c r="D2077" s="464"/>
      <c r="E2077" s="465"/>
      <c r="F2077" s="466"/>
      <c r="G2077" s="518" t="s">
        <v>6820</v>
      </c>
      <c r="H2077" s="477"/>
      <c r="I2077" s="488">
        <f t="shared" si="88"/>
        <v>0</v>
      </c>
      <c r="J2077" s="488">
        <f t="shared" si="89"/>
        <v>0</v>
      </c>
      <c r="K2077" s="474"/>
      <c r="L2077" s="475"/>
    </row>
    <row r="2078" spans="1:12" x14ac:dyDescent="0.2">
      <c r="A2078" s="305">
        <v>50</v>
      </c>
      <c r="B2078" s="469" t="s">
        <v>2398</v>
      </c>
      <c r="C2078" s="476"/>
      <c r="D2078" s="464"/>
      <c r="E2078" s="465"/>
      <c r="F2078" s="466"/>
      <c r="G2078" s="518" t="s">
        <v>6821</v>
      </c>
      <c r="H2078" s="477"/>
      <c r="I2078" s="473">
        <f t="shared" si="88"/>
        <v>0</v>
      </c>
      <c r="J2078" s="473">
        <f t="shared" si="89"/>
        <v>0</v>
      </c>
      <c r="K2078" s="474"/>
      <c r="L2078" s="475"/>
    </row>
    <row r="2079" spans="1:12" x14ac:dyDescent="0.2">
      <c r="A2079" s="305">
        <v>51</v>
      </c>
      <c r="B2079" s="485" t="s">
        <v>2399</v>
      </c>
      <c r="C2079" s="476"/>
      <c r="D2079" s="464"/>
      <c r="E2079" s="465"/>
      <c r="F2079" s="466"/>
      <c r="G2079" s="518" t="s">
        <v>6822</v>
      </c>
      <c r="H2079" s="477"/>
      <c r="I2079" s="488">
        <f t="shared" si="88"/>
        <v>0</v>
      </c>
      <c r="J2079" s="488">
        <f t="shared" si="89"/>
        <v>0</v>
      </c>
      <c r="K2079" s="474"/>
      <c r="L2079" s="475"/>
    </row>
    <row r="2080" spans="1:12" x14ac:dyDescent="0.2">
      <c r="A2080" s="305">
        <v>52</v>
      </c>
      <c r="B2080" s="469" t="s">
        <v>2400</v>
      </c>
      <c r="C2080" s="476"/>
      <c r="D2080" s="464"/>
      <c r="E2080" s="465"/>
      <c r="F2080" s="466"/>
      <c r="G2080" s="518" t="s">
        <v>6823</v>
      </c>
      <c r="H2080" s="477"/>
      <c r="I2080" s="473">
        <f t="shared" si="88"/>
        <v>0</v>
      </c>
      <c r="J2080" s="473">
        <f t="shared" si="89"/>
        <v>0</v>
      </c>
      <c r="K2080" s="474"/>
      <c r="L2080" s="475"/>
    </row>
    <row r="2081" spans="1:12" x14ac:dyDescent="0.2">
      <c r="A2081" s="305">
        <v>53</v>
      </c>
      <c r="B2081" s="485" t="s">
        <v>2401</v>
      </c>
      <c r="C2081" s="476"/>
      <c r="D2081" s="464"/>
      <c r="E2081" s="471"/>
      <c r="F2081" s="471"/>
      <c r="G2081" s="518" t="s">
        <v>6824</v>
      </c>
      <c r="H2081" s="472"/>
      <c r="I2081" s="488">
        <f t="shared" si="88"/>
        <v>0</v>
      </c>
      <c r="J2081" s="488">
        <f t="shared" si="89"/>
        <v>0</v>
      </c>
      <c r="K2081" s="474"/>
      <c r="L2081" s="475"/>
    </row>
    <row r="2082" spans="1:12" x14ac:dyDescent="0.2">
      <c r="A2082" s="305">
        <v>54</v>
      </c>
      <c r="B2082" s="469" t="s">
        <v>2402</v>
      </c>
      <c r="C2082" s="476"/>
      <c r="D2082" s="464"/>
      <c r="E2082" s="465"/>
      <c r="F2082" s="466"/>
      <c r="G2082" s="518" t="s">
        <v>6825</v>
      </c>
      <c r="H2082" s="477"/>
      <c r="I2082" s="473">
        <f t="shared" si="88"/>
        <v>0</v>
      </c>
      <c r="J2082" s="473">
        <f t="shared" si="89"/>
        <v>0</v>
      </c>
      <c r="K2082" s="474"/>
      <c r="L2082" s="475"/>
    </row>
    <row r="2083" spans="1:12" x14ac:dyDescent="0.2">
      <c r="A2083" s="305">
        <v>55</v>
      </c>
      <c r="B2083" s="485" t="s">
        <v>2403</v>
      </c>
      <c r="C2083" s="476"/>
      <c r="D2083" s="464"/>
      <c r="E2083" s="465"/>
      <c r="F2083" s="466"/>
      <c r="G2083" s="518" t="s">
        <v>6826</v>
      </c>
      <c r="H2083" s="477"/>
      <c r="I2083" s="488">
        <f t="shared" si="88"/>
        <v>0</v>
      </c>
      <c r="J2083" s="488">
        <f t="shared" si="89"/>
        <v>0</v>
      </c>
      <c r="K2083" s="474"/>
      <c r="L2083" s="475"/>
    </row>
    <row r="2084" spans="1:12" x14ac:dyDescent="0.2">
      <c r="A2084" s="305">
        <v>56</v>
      </c>
      <c r="B2084" s="469" t="s">
        <v>2404</v>
      </c>
      <c r="C2084" s="476"/>
      <c r="D2084" s="464"/>
      <c r="E2084" s="479"/>
      <c r="F2084" s="466"/>
      <c r="G2084" s="518" t="s">
        <v>6827</v>
      </c>
      <c r="H2084" s="477"/>
      <c r="I2084" s="473">
        <f t="shared" si="88"/>
        <v>0</v>
      </c>
      <c r="J2084" s="473">
        <f t="shared" si="89"/>
        <v>0</v>
      </c>
      <c r="K2084" s="474"/>
      <c r="L2084" s="475"/>
    </row>
    <row r="2085" spans="1:12" x14ac:dyDescent="0.2">
      <c r="A2085" s="305">
        <v>57</v>
      </c>
      <c r="B2085" s="485" t="s">
        <v>2405</v>
      </c>
      <c r="C2085" s="476"/>
      <c r="D2085" s="464"/>
      <c r="E2085" s="465"/>
      <c r="F2085" s="466"/>
      <c r="G2085" s="518" t="s">
        <v>6828</v>
      </c>
      <c r="H2085" s="477"/>
      <c r="I2085" s="488">
        <f t="shared" si="88"/>
        <v>0</v>
      </c>
      <c r="J2085" s="488">
        <f t="shared" si="89"/>
        <v>0</v>
      </c>
      <c r="K2085" s="474"/>
      <c r="L2085" s="475"/>
    </row>
    <row r="2086" spans="1:12" x14ac:dyDescent="0.2">
      <c r="A2086" s="305">
        <v>58</v>
      </c>
      <c r="B2086" s="469" t="s">
        <v>2406</v>
      </c>
      <c r="C2086" s="476"/>
      <c r="D2086" s="464"/>
      <c r="E2086" s="465"/>
      <c r="F2086" s="466"/>
      <c r="G2086" s="518" t="s">
        <v>6829</v>
      </c>
      <c r="H2086" s="477"/>
      <c r="I2086" s="473">
        <f t="shared" si="88"/>
        <v>0</v>
      </c>
      <c r="J2086" s="473">
        <f t="shared" si="89"/>
        <v>0</v>
      </c>
      <c r="K2086" s="474"/>
      <c r="L2086" s="475"/>
    </row>
    <row r="2087" spans="1:12" x14ac:dyDescent="0.2">
      <c r="A2087" s="305">
        <v>59</v>
      </c>
      <c r="B2087" s="485" t="s">
        <v>2407</v>
      </c>
      <c r="C2087" s="476"/>
      <c r="D2087" s="464"/>
      <c r="E2087" s="465"/>
      <c r="F2087" s="466"/>
      <c r="G2087" s="518" t="s">
        <v>6830</v>
      </c>
      <c r="H2087" s="477"/>
      <c r="I2087" s="488">
        <f t="shared" si="88"/>
        <v>0</v>
      </c>
      <c r="J2087" s="488">
        <f t="shared" si="89"/>
        <v>0</v>
      </c>
      <c r="K2087" s="474"/>
      <c r="L2087" s="475"/>
    </row>
    <row r="2088" spans="1:12" x14ac:dyDescent="0.2">
      <c r="A2088" s="305">
        <v>60</v>
      </c>
      <c r="B2088" s="469" t="s">
        <v>2408</v>
      </c>
      <c r="C2088" s="476"/>
      <c r="D2088" s="464"/>
      <c r="E2088" s="465"/>
      <c r="F2088" s="466"/>
      <c r="G2088" s="518" t="s">
        <v>6831</v>
      </c>
      <c r="H2088" s="477"/>
      <c r="I2088" s="473">
        <f t="shared" si="88"/>
        <v>0</v>
      </c>
      <c r="J2088" s="473">
        <f t="shared" si="89"/>
        <v>0</v>
      </c>
      <c r="K2088" s="474"/>
      <c r="L2088" s="475"/>
    </row>
    <row r="2089" spans="1:12" x14ac:dyDescent="0.2">
      <c r="A2089" s="305">
        <v>61</v>
      </c>
      <c r="B2089" s="485" t="s">
        <v>2409</v>
      </c>
      <c r="C2089" s="476"/>
      <c r="D2089" s="464"/>
      <c r="E2089" s="465"/>
      <c r="F2089" s="466"/>
      <c r="G2089" s="518" t="s">
        <v>6832</v>
      </c>
      <c r="H2089" s="477"/>
      <c r="I2089" s="488">
        <f t="shared" si="88"/>
        <v>0</v>
      </c>
      <c r="J2089" s="488">
        <f t="shared" si="89"/>
        <v>0</v>
      </c>
      <c r="K2089" s="474"/>
      <c r="L2089" s="475"/>
    </row>
    <row r="2090" spans="1:12" x14ac:dyDescent="0.2">
      <c r="A2090" s="305">
        <v>62</v>
      </c>
      <c r="B2090" s="469" t="s">
        <v>2410</v>
      </c>
      <c r="C2090" s="476"/>
      <c r="D2090" s="464"/>
      <c r="E2090" s="465"/>
      <c r="F2090" s="466"/>
      <c r="G2090" s="518" t="s">
        <v>6833</v>
      </c>
      <c r="H2090" s="477"/>
      <c r="I2090" s="473">
        <f t="shared" si="88"/>
        <v>0</v>
      </c>
      <c r="J2090" s="473">
        <f t="shared" si="89"/>
        <v>0</v>
      </c>
      <c r="K2090" s="474"/>
      <c r="L2090" s="475"/>
    </row>
    <row r="2091" spans="1:12" x14ac:dyDescent="0.2">
      <c r="A2091" s="305">
        <v>63</v>
      </c>
      <c r="B2091" s="485" t="s">
        <v>2411</v>
      </c>
      <c r="C2091" s="476"/>
      <c r="D2091" s="464"/>
      <c r="E2091" s="465"/>
      <c r="F2091" s="466"/>
      <c r="G2091" s="518" t="s">
        <v>6834</v>
      </c>
      <c r="H2091" s="477"/>
      <c r="I2091" s="488">
        <f t="shared" si="88"/>
        <v>0</v>
      </c>
      <c r="J2091" s="488">
        <f t="shared" si="89"/>
        <v>0</v>
      </c>
      <c r="K2091" s="474"/>
      <c r="L2091" s="475"/>
    </row>
    <row r="2092" spans="1:12" x14ac:dyDescent="0.2">
      <c r="A2092" s="305">
        <v>64</v>
      </c>
      <c r="B2092" s="469" t="s">
        <v>2412</v>
      </c>
      <c r="C2092" s="476"/>
      <c r="D2092" s="464"/>
      <c r="E2092" s="465"/>
      <c r="F2092" s="466"/>
      <c r="G2092" s="518" t="s">
        <v>6835</v>
      </c>
      <c r="H2092" s="477"/>
      <c r="I2092" s="473">
        <f t="shared" si="88"/>
        <v>0</v>
      </c>
      <c r="J2092" s="473">
        <f t="shared" si="89"/>
        <v>0</v>
      </c>
      <c r="K2092" s="474"/>
      <c r="L2092" s="475"/>
    </row>
    <row r="2093" spans="1:12" x14ac:dyDescent="0.2">
      <c r="A2093" s="305">
        <v>65</v>
      </c>
      <c r="B2093" s="485" t="s">
        <v>2413</v>
      </c>
      <c r="C2093" s="476"/>
      <c r="D2093" s="464"/>
      <c r="E2093" s="465"/>
      <c r="F2093" s="466"/>
      <c r="G2093" s="518" t="s">
        <v>6836</v>
      </c>
      <c r="H2093" s="477"/>
      <c r="I2093" s="488">
        <f t="shared" si="88"/>
        <v>0</v>
      </c>
      <c r="J2093" s="488">
        <f t="shared" si="89"/>
        <v>0</v>
      </c>
      <c r="K2093" s="474"/>
      <c r="L2093" s="475"/>
    </row>
    <row r="2094" spans="1:12" x14ac:dyDescent="0.2">
      <c r="A2094" s="305">
        <v>66</v>
      </c>
      <c r="B2094" s="469" t="s">
        <v>2414</v>
      </c>
      <c r="C2094" s="476"/>
      <c r="D2094" s="464"/>
      <c r="E2094" s="465"/>
      <c r="F2094" s="466"/>
      <c r="G2094" s="518" t="s">
        <v>6837</v>
      </c>
      <c r="H2094" s="477"/>
      <c r="I2094" s="473">
        <f t="shared" si="88"/>
        <v>0</v>
      </c>
      <c r="J2094" s="473">
        <f t="shared" si="89"/>
        <v>0</v>
      </c>
      <c r="K2094" s="474"/>
      <c r="L2094" s="475"/>
    </row>
    <row r="2095" spans="1:12" x14ac:dyDescent="0.2">
      <c r="A2095" s="305">
        <v>67</v>
      </c>
      <c r="B2095" s="485" t="s">
        <v>2415</v>
      </c>
      <c r="C2095" s="476"/>
      <c r="D2095" s="464"/>
      <c r="E2095" s="465"/>
      <c r="F2095" s="466"/>
      <c r="G2095" s="518" t="s">
        <v>6838</v>
      </c>
      <c r="H2095" s="477"/>
      <c r="I2095" s="488">
        <f t="shared" ref="I2095:I2158" si="90">K2095/1.11</f>
        <v>0</v>
      </c>
      <c r="J2095" s="488">
        <f t="shared" ref="J2095:J2158" si="91">I2095*11%</f>
        <v>0</v>
      </c>
      <c r="K2095" s="474"/>
      <c r="L2095" s="475"/>
    </row>
    <row r="2096" spans="1:12" x14ac:dyDescent="0.2">
      <c r="A2096" s="305">
        <v>68</v>
      </c>
      <c r="B2096" s="469" t="s">
        <v>2416</v>
      </c>
      <c r="C2096" s="476"/>
      <c r="D2096" s="464"/>
      <c r="E2096" s="465"/>
      <c r="F2096" s="466"/>
      <c r="G2096" s="518" t="s">
        <v>6839</v>
      </c>
      <c r="H2096" s="477"/>
      <c r="I2096" s="473">
        <f t="shared" si="90"/>
        <v>0</v>
      </c>
      <c r="J2096" s="473">
        <f t="shared" si="91"/>
        <v>0</v>
      </c>
      <c r="K2096" s="474"/>
      <c r="L2096" s="475"/>
    </row>
    <row r="2097" spans="1:12" x14ac:dyDescent="0.2">
      <c r="A2097" s="305">
        <v>69</v>
      </c>
      <c r="B2097" s="485" t="s">
        <v>2417</v>
      </c>
      <c r="C2097" s="476"/>
      <c r="D2097" s="464"/>
      <c r="E2097" s="465"/>
      <c r="F2097" s="466"/>
      <c r="G2097" s="518" t="s">
        <v>6840</v>
      </c>
      <c r="H2097" s="477"/>
      <c r="I2097" s="488">
        <f t="shared" si="90"/>
        <v>0</v>
      </c>
      <c r="J2097" s="488">
        <f t="shared" si="91"/>
        <v>0</v>
      </c>
      <c r="K2097" s="474"/>
      <c r="L2097" s="475"/>
    </row>
    <row r="2098" spans="1:12" x14ac:dyDescent="0.2">
      <c r="A2098" s="305">
        <v>70</v>
      </c>
      <c r="B2098" s="469" t="s">
        <v>2418</v>
      </c>
      <c r="C2098" s="476"/>
      <c r="D2098" s="464"/>
      <c r="E2098" s="465"/>
      <c r="F2098" s="466"/>
      <c r="G2098" s="518" t="s">
        <v>6841</v>
      </c>
      <c r="H2098" s="477"/>
      <c r="I2098" s="473">
        <f t="shared" si="90"/>
        <v>0</v>
      </c>
      <c r="J2098" s="473">
        <f t="shared" si="91"/>
        <v>0</v>
      </c>
      <c r="K2098" s="474"/>
      <c r="L2098" s="475"/>
    </row>
    <row r="2099" spans="1:12" x14ac:dyDescent="0.2">
      <c r="A2099" s="305">
        <v>71</v>
      </c>
      <c r="B2099" s="485" t="s">
        <v>2419</v>
      </c>
      <c r="C2099" s="476"/>
      <c r="D2099" s="464"/>
      <c r="E2099" s="465"/>
      <c r="F2099" s="466"/>
      <c r="G2099" s="518" t="s">
        <v>6842</v>
      </c>
      <c r="H2099" s="477"/>
      <c r="I2099" s="488">
        <f t="shared" si="90"/>
        <v>0</v>
      </c>
      <c r="J2099" s="488">
        <f t="shared" si="91"/>
        <v>0</v>
      </c>
      <c r="K2099" s="474"/>
      <c r="L2099" s="475"/>
    </row>
    <row r="2100" spans="1:12" x14ac:dyDescent="0.2">
      <c r="A2100" s="305">
        <v>72</v>
      </c>
      <c r="B2100" s="469" t="s">
        <v>2420</v>
      </c>
      <c r="C2100" s="476"/>
      <c r="D2100" s="464"/>
      <c r="E2100" s="465"/>
      <c r="F2100" s="466"/>
      <c r="G2100" s="518" t="s">
        <v>6843</v>
      </c>
      <c r="H2100" s="477"/>
      <c r="I2100" s="473">
        <f t="shared" si="90"/>
        <v>0</v>
      </c>
      <c r="J2100" s="473">
        <f t="shared" si="91"/>
        <v>0</v>
      </c>
      <c r="K2100" s="474"/>
      <c r="L2100" s="475"/>
    </row>
    <row r="2101" spans="1:12" x14ac:dyDescent="0.2">
      <c r="A2101" s="305">
        <v>73</v>
      </c>
      <c r="B2101" s="485" t="s">
        <v>2421</v>
      </c>
      <c r="C2101" s="476"/>
      <c r="D2101" s="464"/>
      <c r="E2101" s="471"/>
      <c r="F2101" s="471"/>
      <c r="G2101" s="518" t="s">
        <v>6844</v>
      </c>
      <c r="H2101" s="472"/>
      <c r="I2101" s="488">
        <f t="shared" si="90"/>
        <v>0</v>
      </c>
      <c r="J2101" s="488">
        <f t="shared" si="91"/>
        <v>0</v>
      </c>
      <c r="K2101" s="474"/>
      <c r="L2101" s="475"/>
    </row>
    <row r="2102" spans="1:12" x14ac:dyDescent="0.2">
      <c r="A2102" s="305">
        <v>74</v>
      </c>
      <c r="B2102" s="469" t="s">
        <v>2422</v>
      </c>
      <c r="C2102" s="476"/>
      <c r="D2102" s="464"/>
      <c r="E2102" s="465"/>
      <c r="F2102" s="466"/>
      <c r="G2102" s="518" t="s">
        <v>6845</v>
      </c>
      <c r="H2102" s="477"/>
      <c r="I2102" s="473">
        <f t="shared" si="90"/>
        <v>0</v>
      </c>
      <c r="J2102" s="473">
        <f t="shared" si="91"/>
        <v>0</v>
      </c>
      <c r="K2102" s="474"/>
      <c r="L2102" s="475"/>
    </row>
    <row r="2103" spans="1:12" x14ac:dyDescent="0.2">
      <c r="A2103" s="305">
        <v>75</v>
      </c>
      <c r="B2103" s="485" t="s">
        <v>2423</v>
      </c>
      <c r="C2103" s="476"/>
      <c r="D2103" s="464"/>
      <c r="E2103" s="465"/>
      <c r="F2103" s="466"/>
      <c r="G2103" s="518" t="s">
        <v>6846</v>
      </c>
      <c r="H2103" s="477"/>
      <c r="I2103" s="488">
        <f t="shared" si="90"/>
        <v>0</v>
      </c>
      <c r="J2103" s="488">
        <f t="shared" si="91"/>
        <v>0</v>
      </c>
      <c r="K2103" s="474"/>
      <c r="L2103" s="475"/>
    </row>
    <row r="2104" spans="1:12" x14ac:dyDescent="0.2">
      <c r="A2104" s="305">
        <v>76</v>
      </c>
      <c r="B2104" s="469" t="s">
        <v>2424</v>
      </c>
      <c r="C2104" s="476"/>
      <c r="D2104" s="464"/>
      <c r="E2104" s="465"/>
      <c r="F2104" s="466"/>
      <c r="G2104" s="518" t="s">
        <v>6847</v>
      </c>
      <c r="H2104" s="477"/>
      <c r="I2104" s="473">
        <f t="shared" si="90"/>
        <v>0</v>
      </c>
      <c r="J2104" s="473">
        <f t="shared" si="91"/>
        <v>0</v>
      </c>
      <c r="K2104" s="474"/>
      <c r="L2104" s="475"/>
    </row>
    <row r="2105" spans="1:12" x14ac:dyDescent="0.2">
      <c r="A2105" s="305">
        <v>77</v>
      </c>
      <c r="B2105" s="485" t="s">
        <v>2425</v>
      </c>
      <c r="C2105" s="476"/>
      <c r="D2105" s="464"/>
      <c r="E2105" s="465"/>
      <c r="F2105" s="466"/>
      <c r="G2105" s="518" t="s">
        <v>6848</v>
      </c>
      <c r="H2105" s="477"/>
      <c r="I2105" s="488">
        <f t="shared" si="90"/>
        <v>0</v>
      </c>
      <c r="J2105" s="488">
        <f t="shared" si="91"/>
        <v>0</v>
      </c>
      <c r="K2105" s="474"/>
      <c r="L2105" s="475"/>
    </row>
    <row r="2106" spans="1:12" x14ac:dyDescent="0.2">
      <c r="A2106" s="305">
        <v>78</v>
      </c>
      <c r="B2106" s="469" t="s">
        <v>2426</v>
      </c>
      <c r="C2106" s="476"/>
      <c r="D2106" s="464"/>
      <c r="E2106" s="465"/>
      <c r="F2106" s="466"/>
      <c r="G2106" s="518" t="s">
        <v>6849</v>
      </c>
      <c r="H2106" s="477"/>
      <c r="I2106" s="473">
        <f t="shared" si="90"/>
        <v>0</v>
      </c>
      <c r="J2106" s="473">
        <f t="shared" si="91"/>
        <v>0</v>
      </c>
      <c r="K2106" s="474"/>
      <c r="L2106" s="475"/>
    </row>
    <row r="2107" spans="1:12" x14ac:dyDescent="0.2">
      <c r="A2107" s="305">
        <v>79</v>
      </c>
      <c r="B2107" s="485" t="s">
        <v>2427</v>
      </c>
      <c r="C2107" s="476"/>
      <c r="D2107" s="464"/>
      <c r="E2107" s="465"/>
      <c r="F2107" s="466"/>
      <c r="G2107" s="518" t="s">
        <v>6850</v>
      </c>
      <c r="H2107" s="477"/>
      <c r="I2107" s="488">
        <f t="shared" si="90"/>
        <v>0</v>
      </c>
      <c r="J2107" s="488">
        <f t="shared" si="91"/>
        <v>0</v>
      </c>
      <c r="K2107" s="474"/>
      <c r="L2107" s="475"/>
    </row>
    <row r="2108" spans="1:12" x14ac:dyDescent="0.2">
      <c r="A2108" s="305">
        <v>80</v>
      </c>
      <c r="B2108" s="469" t="s">
        <v>2428</v>
      </c>
      <c r="C2108" s="476"/>
      <c r="D2108" s="464"/>
      <c r="E2108" s="465"/>
      <c r="F2108" s="466"/>
      <c r="G2108" s="518" t="s">
        <v>6851</v>
      </c>
      <c r="H2108" s="477"/>
      <c r="I2108" s="473">
        <f t="shared" si="90"/>
        <v>0</v>
      </c>
      <c r="J2108" s="473">
        <f t="shared" si="91"/>
        <v>0</v>
      </c>
      <c r="K2108" s="474"/>
      <c r="L2108" s="475"/>
    </row>
    <row r="2109" spans="1:12" x14ac:dyDescent="0.2">
      <c r="A2109" s="305">
        <v>81</v>
      </c>
      <c r="B2109" s="485" t="s">
        <v>2429</v>
      </c>
      <c r="C2109" s="476"/>
      <c r="D2109" s="464"/>
      <c r="E2109" s="465"/>
      <c r="F2109" s="466"/>
      <c r="G2109" s="518" t="s">
        <v>6852</v>
      </c>
      <c r="H2109" s="477"/>
      <c r="I2109" s="488">
        <f t="shared" si="90"/>
        <v>0</v>
      </c>
      <c r="J2109" s="488">
        <f t="shared" si="91"/>
        <v>0</v>
      </c>
      <c r="K2109" s="474"/>
      <c r="L2109" s="475"/>
    </row>
    <row r="2110" spans="1:12" x14ac:dyDescent="0.2">
      <c r="A2110" s="305">
        <v>82</v>
      </c>
      <c r="B2110" s="469" t="s">
        <v>2430</v>
      </c>
      <c r="C2110" s="476"/>
      <c r="D2110" s="464"/>
      <c r="E2110" s="465"/>
      <c r="F2110" s="466"/>
      <c r="G2110" s="518" t="s">
        <v>6853</v>
      </c>
      <c r="H2110" s="477"/>
      <c r="I2110" s="473">
        <f t="shared" si="90"/>
        <v>0</v>
      </c>
      <c r="J2110" s="473">
        <f t="shared" si="91"/>
        <v>0</v>
      </c>
      <c r="K2110" s="474"/>
      <c r="L2110" s="475"/>
    </row>
    <row r="2111" spans="1:12" x14ac:dyDescent="0.2">
      <c r="A2111" s="305">
        <v>83</v>
      </c>
      <c r="B2111" s="485" t="s">
        <v>2431</v>
      </c>
      <c r="C2111" s="476"/>
      <c r="D2111" s="464"/>
      <c r="E2111" s="465"/>
      <c r="F2111" s="466"/>
      <c r="G2111" s="518" t="s">
        <v>6854</v>
      </c>
      <c r="H2111" s="477"/>
      <c r="I2111" s="488">
        <f t="shared" si="90"/>
        <v>0</v>
      </c>
      <c r="J2111" s="488">
        <f t="shared" si="91"/>
        <v>0</v>
      </c>
      <c r="K2111" s="474"/>
      <c r="L2111" s="475"/>
    </row>
    <row r="2112" spans="1:12" x14ac:dyDescent="0.2">
      <c r="A2112" s="305">
        <v>84</v>
      </c>
      <c r="B2112" s="469" t="s">
        <v>2432</v>
      </c>
      <c r="C2112" s="476"/>
      <c r="D2112" s="464"/>
      <c r="E2112" s="471"/>
      <c r="F2112" s="471"/>
      <c r="G2112" s="518" t="s">
        <v>6855</v>
      </c>
      <c r="H2112" s="472"/>
      <c r="I2112" s="473">
        <f t="shared" si="90"/>
        <v>0</v>
      </c>
      <c r="J2112" s="473">
        <f t="shared" si="91"/>
        <v>0</v>
      </c>
      <c r="K2112" s="474"/>
      <c r="L2112" s="475"/>
    </row>
    <row r="2113" spans="1:12" x14ac:dyDescent="0.2">
      <c r="A2113" s="305">
        <v>85</v>
      </c>
      <c r="B2113" s="485" t="s">
        <v>2433</v>
      </c>
      <c r="C2113" s="476"/>
      <c r="D2113" s="464"/>
      <c r="E2113" s="471"/>
      <c r="F2113" s="471"/>
      <c r="G2113" s="518" t="s">
        <v>6856</v>
      </c>
      <c r="H2113" s="472"/>
      <c r="I2113" s="488">
        <f t="shared" si="90"/>
        <v>0</v>
      </c>
      <c r="J2113" s="488">
        <f t="shared" si="91"/>
        <v>0</v>
      </c>
      <c r="K2113" s="474"/>
      <c r="L2113" s="475"/>
    </row>
    <row r="2114" spans="1:12" x14ac:dyDescent="0.2">
      <c r="A2114" s="305">
        <v>86</v>
      </c>
      <c r="B2114" s="469" t="s">
        <v>2434</v>
      </c>
      <c r="C2114" s="476"/>
      <c r="D2114" s="464"/>
      <c r="E2114" s="465"/>
      <c r="F2114" s="466"/>
      <c r="G2114" s="518" t="s">
        <v>6857</v>
      </c>
      <c r="H2114" s="477"/>
      <c r="I2114" s="473">
        <f t="shared" si="90"/>
        <v>0</v>
      </c>
      <c r="J2114" s="473">
        <f t="shared" si="91"/>
        <v>0</v>
      </c>
      <c r="K2114" s="474"/>
      <c r="L2114" s="475"/>
    </row>
    <row r="2115" spans="1:12" x14ac:dyDescent="0.2">
      <c r="A2115" s="305">
        <v>87</v>
      </c>
      <c r="B2115" s="485" t="s">
        <v>2435</v>
      </c>
      <c r="C2115" s="476"/>
      <c r="D2115" s="464"/>
      <c r="E2115" s="465"/>
      <c r="F2115" s="466"/>
      <c r="G2115" s="518" t="s">
        <v>6858</v>
      </c>
      <c r="H2115" s="477"/>
      <c r="I2115" s="488">
        <f t="shared" si="90"/>
        <v>0</v>
      </c>
      <c r="J2115" s="488">
        <f t="shared" si="91"/>
        <v>0</v>
      </c>
      <c r="K2115" s="474"/>
      <c r="L2115" s="475"/>
    </row>
    <row r="2116" spans="1:12" x14ac:dyDescent="0.2">
      <c r="A2116" s="305">
        <v>88</v>
      </c>
      <c r="B2116" s="469" t="s">
        <v>2436</v>
      </c>
      <c r="C2116" s="476"/>
      <c r="D2116" s="464"/>
      <c r="E2116" s="465"/>
      <c r="F2116" s="466"/>
      <c r="G2116" s="518" t="s">
        <v>6859</v>
      </c>
      <c r="H2116" s="477"/>
      <c r="I2116" s="473">
        <f t="shared" si="90"/>
        <v>0</v>
      </c>
      <c r="J2116" s="473">
        <f t="shared" si="91"/>
        <v>0</v>
      </c>
      <c r="K2116" s="474"/>
      <c r="L2116" s="475"/>
    </row>
    <row r="2117" spans="1:12" x14ac:dyDescent="0.2">
      <c r="A2117" s="305">
        <v>89</v>
      </c>
      <c r="B2117" s="485" t="s">
        <v>2437</v>
      </c>
      <c r="C2117" s="476"/>
      <c r="D2117" s="464"/>
      <c r="E2117" s="465"/>
      <c r="F2117" s="466"/>
      <c r="G2117" s="518" t="s">
        <v>6860</v>
      </c>
      <c r="H2117" s="477"/>
      <c r="I2117" s="488">
        <f t="shared" si="90"/>
        <v>0</v>
      </c>
      <c r="J2117" s="488">
        <f t="shared" si="91"/>
        <v>0</v>
      </c>
      <c r="K2117" s="474"/>
      <c r="L2117" s="475"/>
    </row>
    <row r="2118" spans="1:12" x14ac:dyDescent="0.2">
      <c r="A2118" s="305">
        <v>90</v>
      </c>
      <c r="B2118" s="469" t="s">
        <v>2438</v>
      </c>
      <c r="C2118" s="476"/>
      <c r="D2118" s="464"/>
      <c r="E2118" s="465"/>
      <c r="F2118" s="466"/>
      <c r="G2118" s="518" t="s">
        <v>6861</v>
      </c>
      <c r="H2118" s="477"/>
      <c r="I2118" s="473">
        <f t="shared" si="90"/>
        <v>0</v>
      </c>
      <c r="J2118" s="473">
        <f t="shared" si="91"/>
        <v>0</v>
      </c>
      <c r="K2118" s="474"/>
      <c r="L2118" s="475"/>
    </row>
    <row r="2119" spans="1:12" x14ac:dyDescent="0.2">
      <c r="A2119" s="305">
        <v>91</v>
      </c>
      <c r="B2119" s="485" t="s">
        <v>2439</v>
      </c>
      <c r="C2119" s="476"/>
      <c r="D2119" s="464"/>
      <c r="E2119" s="465"/>
      <c r="F2119" s="466"/>
      <c r="G2119" s="518" t="s">
        <v>6862</v>
      </c>
      <c r="H2119" s="477"/>
      <c r="I2119" s="488">
        <f t="shared" si="90"/>
        <v>0</v>
      </c>
      <c r="J2119" s="488">
        <f t="shared" si="91"/>
        <v>0</v>
      </c>
      <c r="K2119" s="474"/>
      <c r="L2119" s="475"/>
    </row>
    <row r="2120" spans="1:12" x14ac:dyDescent="0.2">
      <c r="A2120" s="305">
        <v>92</v>
      </c>
      <c r="B2120" s="469" t="s">
        <v>2440</v>
      </c>
      <c r="C2120" s="476"/>
      <c r="D2120" s="464"/>
      <c r="E2120" s="465"/>
      <c r="F2120" s="466"/>
      <c r="G2120" s="518" t="s">
        <v>6863</v>
      </c>
      <c r="H2120" s="477"/>
      <c r="I2120" s="473">
        <f t="shared" si="90"/>
        <v>0</v>
      </c>
      <c r="J2120" s="473">
        <f t="shared" si="91"/>
        <v>0</v>
      </c>
      <c r="K2120" s="474"/>
      <c r="L2120" s="475"/>
    </row>
    <row r="2121" spans="1:12" x14ac:dyDescent="0.2">
      <c r="A2121" s="305">
        <v>93</v>
      </c>
      <c r="B2121" s="485" t="s">
        <v>2441</v>
      </c>
      <c r="C2121" s="476"/>
      <c r="D2121" s="464"/>
      <c r="E2121" s="465"/>
      <c r="F2121" s="466"/>
      <c r="G2121" s="518" t="s">
        <v>6864</v>
      </c>
      <c r="H2121" s="477"/>
      <c r="I2121" s="488">
        <f t="shared" si="90"/>
        <v>0</v>
      </c>
      <c r="J2121" s="488">
        <f t="shared" si="91"/>
        <v>0</v>
      </c>
      <c r="K2121" s="474"/>
      <c r="L2121" s="475"/>
    </row>
    <row r="2122" spans="1:12" x14ac:dyDescent="0.2">
      <c r="A2122" s="305">
        <v>94</v>
      </c>
      <c r="B2122" s="469" t="s">
        <v>2442</v>
      </c>
      <c r="C2122" s="476"/>
      <c r="D2122" s="464"/>
      <c r="E2122" s="465"/>
      <c r="F2122" s="466"/>
      <c r="G2122" s="518" t="s">
        <v>6865</v>
      </c>
      <c r="H2122" s="477"/>
      <c r="I2122" s="473">
        <f t="shared" si="90"/>
        <v>0</v>
      </c>
      <c r="J2122" s="473">
        <f t="shared" si="91"/>
        <v>0</v>
      </c>
      <c r="K2122" s="474"/>
      <c r="L2122" s="475"/>
    </row>
    <row r="2123" spans="1:12" x14ac:dyDescent="0.2">
      <c r="A2123" s="305">
        <v>95</v>
      </c>
      <c r="B2123" s="485" t="s">
        <v>2443</v>
      </c>
      <c r="C2123" s="476"/>
      <c r="D2123" s="464"/>
      <c r="E2123" s="465"/>
      <c r="F2123" s="466"/>
      <c r="G2123" s="518" t="s">
        <v>6726</v>
      </c>
      <c r="H2123" s="477"/>
      <c r="I2123" s="488">
        <f t="shared" si="90"/>
        <v>0</v>
      </c>
      <c r="J2123" s="488">
        <f t="shared" si="91"/>
        <v>0</v>
      </c>
      <c r="K2123" s="474"/>
      <c r="L2123" s="475"/>
    </row>
    <row r="2124" spans="1:12" x14ac:dyDescent="0.2">
      <c r="A2124" s="305">
        <v>96</v>
      </c>
      <c r="B2124" s="469" t="s">
        <v>2444</v>
      </c>
      <c r="C2124" s="480"/>
      <c r="D2124" s="481"/>
      <c r="E2124" s="482"/>
      <c r="F2124" s="483"/>
      <c r="G2124" s="518"/>
      <c r="H2124" s="484"/>
      <c r="I2124" s="473">
        <f t="shared" si="90"/>
        <v>0</v>
      </c>
      <c r="J2124" s="473">
        <f t="shared" si="91"/>
        <v>0</v>
      </c>
      <c r="K2124" s="474"/>
      <c r="L2124" s="475"/>
    </row>
    <row r="2125" spans="1:12" x14ac:dyDescent="0.2">
      <c r="A2125" s="305">
        <v>97</v>
      </c>
      <c r="B2125" s="485" t="s">
        <v>2445</v>
      </c>
      <c r="C2125" s="476"/>
      <c r="D2125" s="464"/>
      <c r="E2125" s="471"/>
      <c r="F2125" s="471"/>
      <c r="G2125" s="464"/>
      <c r="H2125" s="477"/>
      <c r="I2125" s="488">
        <f t="shared" si="90"/>
        <v>0</v>
      </c>
      <c r="J2125" s="488">
        <f t="shared" si="91"/>
        <v>0</v>
      </c>
      <c r="K2125" s="474"/>
      <c r="L2125" s="475"/>
    </row>
    <row r="2126" spans="1:12" x14ac:dyDescent="0.2">
      <c r="A2126" s="305">
        <v>98</v>
      </c>
      <c r="B2126" s="469" t="s">
        <v>2446</v>
      </c>
      <c r="C2126" s="476"/>
      <c r="D2126" s="464"/>
      <c r="E2126" s="465"/>
      <c r="F2126" s="466"/>
      <c r="G2126" s="464"/>
      <c r="H2126" s="477"/>
      <c r="I2126" s="473">
        <f t="shared" si="90"/>
        <v>0</v>
      </c>
      <c r="J2126" s="473">
        <f t="shared" si="91"/>
        <v>0</v>
      </c>
      <c r="K2126" s="474"/>
      <c r="L2126" s="475"/>
    </row>
    <row r="2127" spans="1:12" x14ac:dyDescent="0.2">
      <c r="A2127" s="305">
        <v>99</v>
      </c>
      <c r="B2127" s="485" t="s">
        <v>2447</v>
      </c>
      <c r="C2127" s="476"/>
      <c r="D2127" s="464"/>
      <c r="E2127" s="465"/>
      <c r="F2127" s="466"/>
      <c r="G2127" s="464"/>
      <c r="H2127" s="477"/>
      <c r="I2127" s="488">
        <f t="shared" si="90"/>
        <v>0</v>
      </c>
      <c r="J2127" s="488">
        <f t="shared" si="91"/>
        <v>0</v>
      </c>
      <c r="K2127" s="474"/>
      <c r="L2127" s="475"/>
    </row>
    <row r="2128" spans="1:12" x14ac:dyDescent="0.2">
      <c r="A2128" s="305">
        <v>100</v>
      </c>
      <c r="B2128" s="469" t="s">
        <v>2448</v>
      </c>
      <c r="C2128" s="476"/>
      <c r="D2128" s="464"/>
      <c r="E2128" s="465"/>
      <c r="F2128" s="466"/>
      <c r="G2128" s="464"/>
      <c r="H2128" s="477"/>
      <c r="I2128" s="473">
        <f t="shared" si="90"/>
        <v>0</v>
      </c>
      <c r="J2128" s="473">
        <f t="shared" si="91"/>
        <v>0</v>
      </c>
      <c r="K2128" s="474"/>
      <c r="L2128" s="475"/>
    </row>
    <row r="2129" spans="1:12" x14ac:dyDescent="0.2">
      <c r="A2129" s="305">
        <v>101</v>
      </c>
      <c r="B2129" s="485" t="s">
        <v>2449</v>
      </c>
      <c r="C2129" s="476"/>
      <c r="D2129" s="464"/>
      <c r="E2129" s="465"/>
      <c r="F2129" s="466"/>
      <c r="G2129" s="464"/>
      <c r="H2129" s="477"/>
      <c r="I2129" s="488">
        <f t="shared" si="90"/>
        <v>0</v>
      </c>
      <c r="J2129" s="488">
        <f t="shared" si="91"/>
        <v>0</v>
      </c>
      <c r="K2129" s="474"/>
      <c r="L2129" s="475"/>
    </row>
    <row r="2130" spans="1:12" x14ac:dyDescent="0.2">
      <c r="A2130" s="305">
        <v>102</v>
      </c>
      <c r="B2130" s="469" t="s">
        <v>2450</v>
      </c>
      <c r="C2130" s="476"/>
      <c r="D2130" s="464"/>
      <c r="E2130" s="465"/>
      <c r="F2130" s="466"/>
      <c r="G2130" s="464"/>
      <c r="H2130" s="477"/>
      <c r="I2130" s="473">
        <f t="shared" si="90"/>
        <v>0</v>
      </c>
      <c r="J2130" s="473">
        <f t="shared" si="91"/>
        <v>0</v>
      </c>
      <c r="K2130" s="474"/>
      <c r="L2130" s="475"/>
    </row>
    <row r="2131" spans="1:12" x14ac:dyDescent="0.2">
      <c r="A2131" s="305">
        <v>103</v>
      </c>
      <c r="B2131" s="485" t="s">
        <v>2451</v>
      </c>
      <c r="C2131" s="476"/>
      <c r="D2131" s="464"/>
      <c r="E2131" s="465"/>
      <c r="F2131" s="466"/>
      <c r="G2131" s="464"/>
      <c r="H2131" s="477"/>
      <c r="I2131" s="488">
        <f t="shared" si="90"/>
        <v>0</v>
      </c>
      <c r="J2131" s="488">
        <f t="shared" si="91"/>
        <v>0</v>
      </c>
      <c r="K2131" s="474"/>
      <c r="L2131" s="475"/>
    </row>
    <row r="2132" spans="1:12" x14ac:dyDescent="0.2">
      <c r="A2132" s="305">
        <v>104</v>
      </c>
      <c r="B2132" s="469" t="s">
        <v>2452</v>
      </c>
      <c r="C2132" s="476"/>
      <c r="D2132" s="464"/>
      <c r="E2132" s="465"/>
      <c r="F2132" s="466"/>
      <c r="G2132" s="464"/>
      <c r="H2132" s="477"/>
      <c r="I2132" s="473">
        <f t="shared" si="90"/>
        <v>0</v>
      </c>
      <c r="J2132" s="473">
        <f t="shared" si="91"/>
        <v>0</v>
      </c>
      <c r="K2132" s="474"/>
      <c r="L2132" s="475"/>
    </row>
    <row r="2133" spans="1:12" x14ac:dyDescent="0.2">
      <c r="A2133" s="305">
        <v>105</v>
      </c>
      <c r="B2133" s="485" t="s">
        <v>2453</v>
      </c>
      <c r="C2133" s="476"/>
      <c r="D2133" s="464"/>
      <c r="E2133" s="465"/>
      <c r="F2133" s="466"/>
      <c r="G2133" s="464"/>
      <c r="H2133" s="477"/>
      <c r="I2133" s="488">
        <f t="shared" si="90"/>
        <v>0</v>
      </c>
      <c r="J2133" s="488">
        <f t="shared" si="91"/>
        <v>0</v>
      </c>
      <c r="K2133" s="474"/>
      <c r="L2133" s="475"/>
    </row>
    <row r="2134" spans="1:12" x14ac:dyDescent="0.2">
      <c r="A2134" s="305">
        <v>106</v>
      </c>
      <c r="B2134" s="469" t="s">
        <v>2454</v>
      </c>
      <c r="C2134" s="476"/>
      <c r="D2134" s="464"/>
      <c r="E2134" s="465"/>
      <c r="F2134" s="466"/>
      <c r="G2134" s="464"/>
      <c r="H2134" s="477"/>
      <c r="I2134" s="473">
        <f t="shared" si="90"/>
        <v>0</v>
      </c>
      <c r="J2134" s="473">
        <f t="shared" si="91"/>
        <v>0</v>
      </c>
      <c r="K2134" s="474"/>
      <c r="L2134" s="475"/>
    </row>
    <row r="2135" spans="1:12" x14ac:dyDescent="0.2">
      <c r="A2135" s="305">
        <v>107</v>
      </c>
      <c r="B2135" s="485" t="s">
        <v>2455</v>
      </c>
      <c r="C2135" s="480"/>
      <c r="D2135" s="481"/>
      <c r="E2135" s="482"/>
      <c r="F2135" s="483"/>
      <c r="G2135" s="513"/>
      <c r="H2135" s="484"/>
      <c r="I2135" s="488">
        <f t="shared" si="90"/>
        <v>0</v>
      </c>
      <c r="J2135" s="488">
        <f t="shared" si="91"/>
        <v>0</v>
      </c>
      <c r="K2135" s="474"/>
      <c r="L2135" s="475"/>
    </row>
    <row r="2136" spans="1:12" x14ac:dyDescent="0.2">
      <c r="A2136" s="305">
        <v>108</v>
      </c>
      <c r="B2136" s="469" t="s">
        <v>2456</v>
      </c>
      <c r="C2136" s="476"/>
      <c r="D2136" s="464"/>
      <c r="E2136" s="471"/>
      <c r="F2136" s="471"/>
      <c r="G2136" s="464"/>
      <c r="H2136" s="477"/>
      <c r="I2136" s="473">
        <f t="shared" si="90"/>
        <v>0</v>
      </c>
      <c r="J2136" s="473">
        <f t="shared" si="91"/>
        <v>0</v>
      </c>
      <c r="K2136" s="474"/>
      <c r="L2136" s="475"/>
    </row>
    <row r="2137" spans="1:12" x14ac:dyDescent="0.2">
      <c r="A2137" s="305">
        <v>109</v>
      </c>
      <c r="B2137" s="485" t="s">
        <v>2457</v>
      </c>
      <c r="C2137" s="476"/>
      <c r="D2137" s="464"/>
      <c r="E2137" s="465"/>
      <c r="F2137" s="466"/>
      <c r="G2137" s="464"/>
      <c r="H2137" s="477"/>
      <c r="I2137" s="488">
        <f t="shared" si="90"/>
        <v>0</v>
      </c>
      <c r="J2137" s="488">
        <f t="shared" si="91"/>
        <v>0</v>
      </c>
      <c r="K2137" s="474"/>
      <c r="L2137" s="475"/>
    </row>
    <row r="2138" spans="1:12" x14ac:dyDescent="0.2">
      <c r="A2138" s="305">
        <v>110</v>
      </c>
      <c r="B2138" s="469" t="s">
        <v>2458</v>
      </c>
      <c r="C2138" s="476"/>
      <c r="D2138" s="464"/>
      <c r="E2138" s="465"/>
      <c r="F2138" s="466"/>
      <c r="G2138" s="464"/>
      <c r="H2138" s="477"/>
      <c r="I2138" s="473">
        <f t="shared" si="90"/>
        <v>0</v>
      </c>
      <c r="J2138" s="473">
        <f t="shared" si="91"/>
        <v>0</v>
      </c>
      <c r="K2138" s="474"/>
      <c r="L2138" s="475"/>
    </row>
    <row r="2139" spans="1:12" x14ac:dyDescent="0.2">
      <c r="A2139" s="305">
        <v>111</v>
      </c>
      <c r="B2139" s="485" t="s">
        <v>2459</v>
      </c>
      <c r="C2139" s="476"/>
      <c r="D2139" s="464"/>
      <c r="E2139" s="465"/>
      <c r="F2139" s="466"/>
      <c r="G2139" s="464"/>
      <c r="H2139" s="477"/>
      <c r="I2139" s="488">
        <f t="shared" si="90"/>
        <v>0</v>
      </c>
      <c r="J2139" s="488">
        <f t="shared" si="91"/>
        <v>0</v>
      </c>
      <c r="K2139" s="474"/>
      <c r="L2139" s="475"/>
    </row>
    <row r="2140" spans="1:12" x14ac:dyDescent="0.2">
      <c r="A2140" s="305">
        <v>112</v>
      </c>
      <c r="B2140" s="469" t="s">
        <v>2460</v>
      </c>
      <c r="C2140" s="476"/>
      <c r="D2140" s="464"/>
      <c r="E2140" s="465"/>
      <c r="F2140" s="466"/>
      <c r="G2140" s="464"/>
      <c r="H2140" s="477"/>
      <c r="I2140" s="473">
        <f t="shared" si="90"/>
        <v>0</v>
      </c>
      <c r="J2140" s="473">
        <f t="shared" si="91"/>
        <v>0</v>
      </c>
      <c r="K2140" s="474"/>
      <c r="L2140" s="475"/>
    </row>
    <row r="2141" spans="1:12" x14ac:dyDescent="0.2">
      <c r="A2141" s="305">
        <v>113</v>
      </c>
      <c r="B2141" s="485" t="s">
        <v>2461</v>
      </c>
      <c r="C2141" s="476"/>
      <c r="D2141" s="464"/>
      <c r="E2141" s="465"/>
      <c r="F2141" s="466"/>
      <c r="G2141" s="464"/>
      <c r="H2141" s="477"/>
      <c r="I2141" s="488">
        <f t="shared" si="90"/>
        <v>0</v>
      </c>
      <c r="J2141" s="488">
        <f t="shared" si="91"/>
        <v>0</v>
      </c>
      <c r="K2141" s="474"/>
      <c r="L2141" s="475"/>
    </row>
    <row r="2142" spans="1:12" x14ac:dyDescent="0.2">
      <c r="A2142" s="305">
        <v>114</v>
      </c>
      <c r="B2142" s="469" t="s">
        <v>2462</v>
      </c>
      <c r="C2142" s="476"/>
      <c r="D2142" s="464"/>
      <c r="E2142" s="465"/>
      <c r="F2142" s="466"/>
      <c r="G2142" s="464"/>
      <c r="H2142" s="477"/>
      <c r="I2142" s="473">
        <f t="shared" si="90"/>
        <v>0</v>
      </c>
      <c r="J2142" s="473">
        <f t="shared" si="91"/>
        <v>0</v>
      </c>
      <c r="K2142" s="474"/>
      <c r="L2142" s="475"/>
    </row>
    <row r="2143" spans="1:12" x14ac:dyDescent="0.2">
      <c r="A2143" s="305">
        <v>115</v>
      </c>
      <c r="B2143" s="485" t="s">
        <v>2463</v>
      </c>
      <c r="C2143" s="476"/>
      <c r="D2143" s="464"/>
      <c r="E2143" s="465"/>
      <c r="F2143" s="466"/>
      <c r="G2143" s="464"/>
      <c r="H2143" s="477"/>
      <c r="I2143" s="488">
        <f t="shared" si="90"/>
        <v>0</v>
      </c>
      <c r="J2143" s="488">
        <f t="shared" si="91"/>
        <v>0</v>
      </c>
      <c r="K2143" s="474"/>
      <c r="L2143" s="475"/>
    </row>
    <row r="2144" spans="1:12" x14ac:dyDescent="0.2">
      <c r="A2144" s="305">
        <v>116</v>
      </c>
      <c r="B2144" s="469" t="s">
        <v>2464</v>
      </c>
      <c r="C2144" s="476"/>
      <c r="D2144" s="464"/>
      <c r="E2144" s="465"/>
      <c r="F2144" s="466"/>
      <c r="G2144" s="464"/>
      <c r="H2144" s="477"/>
      <c r="I2144" s="473">
        <f t="shared" si="90"/>
        <v>0</v>
      </c>
      <c r="J2144" s="473">
        <f t="shared" si="91"/>
        <v>0</v>
      </c>
      <c r="K2144" s="474"/>
      <c r="L2144" s="475"/>
    </row>
    <row r="2145" spans="1:12" x14ac:dyDescent="0.2">
      <c r="A2145" s="305">
        <v>117</v>
      </c>
      <c r="B2145" s="485" t="s">
        <v>2465</v>
      </c>
      <c r="C2145" s="476"/>
      <c r="D2145" s="464"/>
      <c r="E2145" s="465"/>
      <c r="F2145" s="466"/>
      <c r="G2145" s="464"/>
      <c r="H2145" s="477"/>
      <c r="I2145" s="488">
        <f t="shared" si="90"/>
        <v>0</v>
      </c>
      <c r="J2145" s="488">
        <f t="shared" si="91"/>
        <v>0</v>
      </c>
      <c r="K2145" s="474"/>
      <c r="L2145" s="475"/>
    </row>
    <row r="2146" spans="1:12" x14ac:dyDescent="0.2">
      <c r="A2146" s="305">
        <v>118</v>
      </c>
      <c r="B2146" s="469" t="s">
        <v>2466</v>
      </c>
      <c r="C2146" s="480"/>
      <c r="D2146" s="481"/>
      <c r="E2146" s="482"/>
      <c r="F2146" s="483"/>
      <c r="G2146" s="513"/>
      <c r="H2146" s="484"/>
      <c r="I2146" s="473">
        <f t="shared" si="90"/>
        <v>0</v>
      </c>
      <c r="J2146" s="473">
        <f t="shared" si="91"/>
        <v>0</v>
      </c>
      <c r="K2146" s="474"/>
      <c r="L2146" s="475"/>
    </row>
    <row r="2147" spans="1:12" x14ac:dyDescent="0.2">
      <c r="A2147" s="305">
        <v>119</v>
      </c>
      <c r="B2147" s="485" t="s">
        <v>2467</v>
      </c>
      <c r="C2147" s="476"/>
      <c r="D2147" s="464"/>
      <c r="E2147" s="471"/>
      <c r="F2147" s="471"/>
      <c r="G2147" s="464"/>
      <c r="H2147" s="477"/>
      <c r="I2147" s="488">
        <f t="shared" si="90"/>
        <v>0</v>
      </c>
      <c r="J2147" s="488">
        <f t="shared" si="91"/>
        <v>0</v>
      </c>
      <c r="K2147" s="474"/>
      <c r="L2147" s="475"/>
    </row>
    <row r="2148" spans="1:12" x14ac:dyDescent="0.2">
      <c r="A2148" s="305">
        <v>120</v>
      </c>
      <c r="B2148" s="469" t="s">
        <v>2468</v>
      </c>
      <c r="C2148" s="476"/>
      <c r="D2148" s="464"/>
      <c r="E2148" s="465"/>
      <c r="F2148" s="466"/>
      <c r="G2148" s="464"/>
      <c r="H2148" s="477"/>
      <c r="I2148" s="473">
        <f t="shared" si="90"/>
        <v>0</v>
      </c>
      <c r="J2148" s="473">
        <f t="shared" si="91"/>
        <v>0</v>
      </c>
      <c r="K2148" s="474"/>
      <c r="L2148" s="475"/>
    </row>
    <row r="2149" spans="1:12" x14ac:dyDescent="0.2">
      <c r="A2149" s="305">
        <v>121</v>
      </c>
      <c r="B2149" s="485" t="s">
        <v>2469</v>
      </c>
      <c r="C2149" s="476"/>
      <c r="D2149" s="464"/>
      <c r="E2149" s="465"/>
      <c r="F2149" s="466"/>
      <c r="G2149" s="464"/>
      <c r="H2149" s="477"/>
      <c r="I2149" s="488">
        <f t="shared" si="90"/>
        <v>0</v>
      </c>
      <c r="J2149" s="488">
        <f t="shared" si="91"/>
        <v>0</v>
      </c>
      <c r="K2149" s="474"/>
      <c r="L2149" s="475"/>
    </row>
    <row r="2150" spans="1:12" x14ac:dyDescent="0.2">
      <c r="A2150" s="305">
        <v>122</v>
      </c>
      <c r="B2150" s="469" t="s">
        <v>2470</v>
      </c>
      <c r="C2150" s="476"/>
      <c r="D2150" s="464"/>
      <c r="E2150" s="465"/>
      <c r="F2150" s="466"/>
      <c r="G2150" s="464"/>
      <c r="H2150" s="477"/>
      <c r="I2150" s="473">
        <f t="shared" si="90"/>
        <v>0</v>
      </c>
      <c r="J2150" s="473">
        <f t="shared" si="91"/>
        <v>0</v>
      </c>
      <c r="K2150" s="474"/>
      <c r="L2150" s="475"/>
    </row>
    <row r="2151" spans="1:12" x14ac:dyDescent="0.2">
      <c r="A2151" s="305">
        <v>123</v>
      </c>
      <c r="B2151" s="485" t="s">
        <v>2471</v>
      </c>
      <c r="C2151" s="476"/>
      <c r="D2151" s="464"/>
      <c r="E2151" s="465"/>
      <c r="F2151" s="466"/>
      <c r="G2151" s="464"/>
      <c r="H2151" s="477"/>
      <c r="I2151" s="488">
        <f t="shared" si="90"/>
        <v>0</v>
      </c>
      <c r="J2151" s="488">
        <f t="shared" si="91"/>
        <v>0</v>
      </c>
      <c r="K2151" s="474"/>
      <c r="L2151" s="475"/>
    </row>
    <row r="2152" spans="1:12" x14ac:dyDescent="0.2">
      <c r="A2152" s="305">
        <v>124</v>
      </c>
      <c r="B2152" s="469" t="s">
        <v>2472</v>
      </c>
      <c r="C2152" s="476"/>
      <c r="D2152" s="464"/>
      <c r="E2152" s="465"/>
      <c r="F2152" s="466"/>
      <c r="G2152" s="464"/>
      <c r="H2152" s="477"/>
      <c r="I2152" s="473">
        <f t="shared" si="90"/>
        <v>0</v>
      </c>
      <c r="J2152" s="473">
        <f t="shared" si="91"/>
        <v>0</v>
      </c>
      <c r="K2152" s="474"/>
      <c r="L2152" s="475"/>
    </row>
    <row r="2153" spans="1:12" x14ac:dyDescent="0.2">
      <c r="A2153" s="305">
        <v>125</v>
      </c>
      <c r="B2153" s="485" t="s">
        <v>2473</v>
      </c>
      <c r="C2153" s="476"/>
      <c r="D2153" s="464"/>
      <c r="E2153" s="465"/>
      <c r="F2153" s="466"/>
      <c r="G2153" s="464"/>
      <c r="H2153" s="477"/>
      <c r="I2153" s="488">
        <f t="shared" si="90"/>
        <v>0</v>
      </c>
      <c r="J2153" s="488">
        <f t="shared" si="91"/>
        <v>0</v>
      </c>
      <c r="K2153" s="474"/>
      <c r="L2153" s="475"/>
    </row>
    <row r="2154" spans="1:12" x14ac:dyDescent="0.2">
      <c r="A2154" s="305">
        <v>126</v>
      </c>
      <c r="B2154" s="469" t="s">
        <v>2474</v>
      </c>
      <c r="C2154" s="476"/>
      <c r="D2154" s="464"/>
      <c r="E2154" s="465"/>
      <c r="F2154" s="466"/>
      <c r="G2154" s="464"/>
      <c r="H2154" s="477"/>
      <c r="I2154" s="473">
        <f t="shared" si="90"/>
        <v>0</v>
      </c>
      <c r="J2154" s="473">
        <f t="shared" si="91"/>
        <v>0</v>
      </c>
      <c r="K2154" s="474"/>
      <c r="L2154" s="475"/>
    </row>
    <row r="2155" spans="1:12" x14ac:dyDescent="0.2">
      <c r="A2155" s="305">
        <v>127</v>
      </c>
      <c r="B2155" s="485" t="s">
        <v>2475</v>
      </c>
      <c r="C2155" s="476"/>
      <c r="D2155" s="464"/>
      <c r="E2155" s="465"/>
      <c r="F2155" s="466"/>
      <c r="G2155" s="464"/>
      <c r="H2155" s="477"/>
      <c r="I2155" s="488">
        <f t="shared" si="90"/>
        <v>0</v>
      </c>
      <c r="J2155" s="488">
        <f t="shared" si="91"/>
        <v>0</v>
      </c>
      <c r="K2155" s="474"/>
      <c r="L2155" s="475"/>
    </row>
    <row r="2156" spans="1:12" x14ac:dyDescent="0.2">
      <c r="A2156" s="305">
        <v>128</v>
      </c>
      <c r="B2156" s="469" t="s">
        <v>2476</v>
      </c>
      <c r="C2156" s="476"/>
      <c r="D2156" s="464"/>
      <c r="E2156" s="465"/>
      <c r="F2156" s="466"/>
      <c r="G2156" s="464"/>
      <c r="H2156" s="477"/>
      <c r="I2156" s="473">
        <f t="shared" si="90"/>
        <v>0</v>
      </c>
      <c r="J2156" s="473">
        <f t="shared" si="91"/>
        <v>0</v>
      </c>
      <c r="K2156" s="474"/>
      <c r="L2156" s="475"/>
    </row>
    <row r="2157" spans="1:12" x14ac:dyDescent="0.2">
      <c r="A2157" s="305">
        <v>129</v>
      </c>
      <c r="B2157" s="485" t="s">
        <v>2477</v>
      </c>
      <c r="C2157" s="480"/>
      <c r="D2157" s="481"/>
      <c r="E2157" s="482"/>
      <c r="F2157" s="483"/>
      <c r="G2157" s="513"/>
      <c r="H2157" s="484"/>
      <c r="I2157" s="488">
        <f t="shared" si="90"/>
        <v>0</v>
      </c>
      <c r="J2157" s="488">
        <f t="shared" si="91"/>
        <v>0</v>
      </c>
      <c r="K2157" s="474"/>
      <c r="L2157" s="475"/>
    </row>
    <row r="2158" spans="1:12" x14ac:dyDescent="0.2">
      <c r="A2158" s="305">
        <v>130</v>
      </c>
      <c r="B2158" s="469" t="s">
        <v>2478</v>
      </c>
      <c r="C2158" s="476"/>
      <c r="D2158" s="464"/>
      <c r="E2158" s="471"/>
      <c r="F2158" s="471"/>
      <c r="G2158" s="464"/>
      <c r="H2158" s="477"/>
      <c r="I2158" s="473">
        <f t="shared" si="90"/>
        <v>0</v>
      </c>
      <c r="J2158" s="473">
        <f t="shared" si="91"/>
        <v>0</v>
      </c>
      <c r="K2158" s="474"/>
      <c r="L2158" s="475"/>
    </row>
    <row r="2159" spans="1:12" x14ac:dyDescent="0.2">
      <c r="A2159" s="305">
        <v>131</v>
      </c>
      <c r="B2159" s="485" t="s">
        <v>2479</v>
      </c>
      <c r="C2159" s="476"/>
      <c r="D2159" s="464"/>
      <c r="E2159" s="465"/>
      <c r="F2159" s="466"/>
      <c r="G2159" s="464"/>
      <c r="H2159" s="477"/>
      <c r="I2159" s="488">
        <f t="shared" ref="I2159:I2222" si="92">K2159/1.11</f>
        <v>0</v>
      </c>
      <c r="J2159" s="488">
        <f t="shared" ref="J2159:J2222" si="93">I2159*11%</f>
        <v>0</v>
      </c>
      <c r="K2159" s="474"/>
      <c r="L2159" s="475"/>
    </row>
    <row r="2160" spans="1:12" x14ac:dyDescent="0.2">
      <c r="A2160" s="305">
        <v>132</v>
      </c>
      <c r="B2160" s="469" t="s">
        <v>2480</v>
      </c>
      <c r="C2160" s="476"/>
      <c r="D2160" s="464"/>
      <c r="E2160" s="465"/>
      <c r="F2160" s="466"/>
      <c r="G2160" s="464"/>
      <c r="H2160" s="477"/>
      <c r="I2160" s="473">
        <f t="shared" si="92"/>
        <v>0</v>
      </c>
      <c r="J2160" s="473">
        <f t="shared" si="93"/>
        <v>0</v>
      </c>
      <c r="K2160" s="474"/>
      <c r="L2160" s="475"/>
    </row>
    <row r="2161" spans="1:12" x14ac:dyDescent="0.2">
      <c r="A2161" s="305">
        <v>133</v>
      </c>
      <c r="B2161" s="485" t="s">
        <v>2481</v>
      </c>
      <c r="C2161" s="476"/>
      <c r="D2161" s="464"/>
      <c r="E2161" s="465"/>
      <c r="F2161" s="466"/>
      <c r="G2161" s="464"/>
      <c r="H2161" s="477"/>
      <c r="I2161" s="488">
        <f t="shared" si="92"/>
        <v>0</v>
      </c>
      <c r="J2161" s="488">
        <f t="shared" si="93"/>
        <v>0</v>
      </c>
      <c r="K2161" s="474"/>
      <c r="L2161" s="475"/>
    </row>
    <row r="2162" spans="1:12" x14ac:dyDescent="0.2">
      <c r="A2162" s="305">
        <v>134</v>
      </c>
      <c r="B2162" s="469" t="s">
        <v>2482</v>
      </c>
      <c r="C2162" s="476"/>
      <c r="D2162" s="464"/>
      <c r="E2162" s="465"/>
      <c r="F2162" s="466"/>
      <c r="G2162" s="464"/>
      <c r="H2162" s="477"/>
      <c r="I2162" s="473">
        <f t="shared" si="92"/>
        <v>0</v>
      </c>
      <c r="J2162" s="473">
        <f t="shared" si="93"/>
        <v>0</v>
      </c>
      <c r="K2162" s="474"/>
      <c r="L2162" s="475"/>
    </row>
    <row r="2163" spans="1:12" x14ac:dyDescent="0.2">
      <c r="A2163" s="305">
        <v>135</v>
      </c>
      <c r="B2163" s="485" t="s">
        <v>2483</v>
      </c>
      <c r="C2163" s="476"/>
      <c r="D2163" s="464"/>
      <c r="E2163" s="465"/>
      <c r="F2163" s="466"/>
      <c r="G2163" s="464"/>
      <c r="H2163" s="477"/>
      <c r="I2163" s="488">
        <f t="shared" si="92"/>
        <v>0</v>
      </c>
      <c r="J2163" s="488">
        <f t="shared" si="93"/>
        <v>0</v>
      </c>
      <c r="K2163" s="474"/>
      <c r="L2163" s="475"/>
    </row>
    <row r="2164" spans="1:12" x14ac:dyDescent="0.2">
      <c r="A2164" s="305">
        <v>136</v>
      </c>
      <c r="B2164" s="469" t="s">
        <v>2484</v>
      </c>
      <c r="C2164" s="476"/>
      <c r="D2164" s="464"/>
      <c r="E2164" s="465"/>
      <c r="F2164" s="466"/>
      <c r="G2164" s="464"/>
      <c r="H2164" s="477"/>
      <c r="I2164" s="473">
        <f t="shared" si="92"/>
        <v>0</v>
      </c>
      <c r="J2164" s="473">
        <f t="shared" si="93"/>
        <v>0</v>
      </c>
      <c r="K2164" s="474"/>
      <c r="L2164" s="475"/>
    </row>
    <row r="2165" spans="1:12" x14ac:dyDescent="0.2">
      <c r="A2165" s="305">
        <v>137</v>
      </c>
      <c r="B2165" s="485" t="s">
        <v>2485</v>
      </c>
      <c r="C2165" s="476"/>
      <c r="D2165" s="464"/>
      <c r="E2165" s="465"/>
      <c r="F2165" s="466"/>
      <c r="G2165" s="464"/>
      <c r="H2165" s="477"/>
      <c r="I2165" s="488">
        <f t="shared" si="92"/>
        <v>0</v>
      </c>
      <c r="J2165" s="488">
        <f t="shared" si="93"/>
        <v>0</v>
      </c>
      <c r="K2165" s="474"/>
      <c r="L2165" s="475"/>
    </row>
    <row r="2166" spans="1:12" x14ac:dyDescent="0.2">
      <c r="A2166" s="305">
        <v>138</v>
      </c>
      <c r="B2166" s="469" t="s">
        <v>2486</v>
      </c>
      <c r="C2166" s="476"/>
      <c r="D2166" s="464"/>
      <c r="E2166" s="465"/>
      <c r="F2166" s="466"/>
      <c r="G2166" s="464"/>
      <c r="H2166" s="477"/>
      <c r="I2166" s="473">
        <f t="shared" si="92"/>
        <v>0</v>
      </c>
      <c r="J2166" s="473">
        <f t="shared" si="93"/>
        <v>0</v>
      </c>
      <c r="K2166" s="474"/>
      <c r="L2166" s="475"/>
    </row>
    <row r="2167" spans="1:12" x14ac:dyDescent="0.2">
      <c r="A2167" s="305">
        <v>139</v>
      </c>
      <c r="B2167" s="485" t="s">
        <v>2487</v>
      </c>
      <c r="C2167" s="476"/>
      <c r="D2167" s="464"/>
      <c r="E2167" s="465"/>
      <c r="F2167" s="466"/>
      <c r="G2167" s="464"/>
      <c r="H2167" s="477"/>
      <c r="I2167" s="488">
        <f t="shared" si="92"/>
        <v>0</v>
      </c>
      <c r="J2167" s="488">
        <f t="shared" si="93"/>
        <v>0</v>
      </c>
      <c r="K2167" s="474"/>
      <c r="L2167" s="475"/>
    </row>
    <row r="2168" spans="1:12" x14ac:dyDescent="0.2">
      <c r="A2168" s="305">
        <v>140</v>
      </c>
      <c r="B2168" s="469" t="s">
        <v>2488</v>
      </c>
      <c r="C2168" s="480"/>
      <c r="D2168" s="481"/>
      <c r="E2168" s="482"/>
      <c r="F2168" s="483"/>
      <c r="G2168" s="513"/>
      <c r="H2168" s="484"/>
      <c r="I2168" s="473">
        <f t="shared" si="92"/>
        <v>0</v>
      </c>
      <c r="J2168" s="473">
        <f t="shared" si="93"/>
        <v>0</v>
      </c>
      <c r="K2168" s="474"/>
      <c r="L2168" s="475"/>
    </row>
    <row r="2169" spans="1:12" x14ac:dyDescent="0.2">
      <c r="A2169" s="305">
        <v>141</v>
      </c>
      <c r="B2169" s="485" t="s">
        <v>2489</v>
      </c>
      <c r="C2169" s="476"/>
      <c r="D2169" s="464"/>
      <c r="E2169" s="465"/>
      <c r="F2169" s="466"/>
      <c r="G2169" s="464"/>
      <c r="H2169" s="477"/>
      <c r="I2169" s="488">
        <f t="shared" si="92"/>
        <v>0</v>
      </c>
      <c r="J2169" s="488">
        <f t="shared" si="93"/>
        <v>0</v>
      </c>
      <c r="K2169" s="474"/>
      <c r="L2169" s="475"/>
    </row>
    <row r="2170" spans="1:12" x14ac:dyDescent="0.2">
      <c r="A2170" s="305">
        <v>142</v>
      </c>
      <c r="B2170" s="469" t="s">
        <v>2490</v>
      </c>
      <c r="C2170" s="476"/>
      <c r="D2170" s="464"/>
      <c r="E2170" s="465"/>
      <c r="F2170" s="466"/>
      <c r="G2170" s="464"/>
      <c r="H2170" s="477"/>
      <c r="I2170" s="473">
        <f t="shared" si="92"/>
        <v>0</v>
      </c>
      <c r="J2170" s="473">
        <f t="shared" si="93"/>
        <v>0</v>
      </c>
      <c r="K2170" s="474"/>
      <c r="L2170" s="475"/>
    </row>
    <row r="2171" spans="1:12" x14ac:dyDescent="0.2">
      <c r="A2171" s="305">
        <v>143</v>
      </c>
      <c r="B2171" s="485" t="s">
        <v>2491</v>
      </c>
      <c r="C2171" s="476"/>
      <c r="D2171" s="464"/>
      <c r="E2171" s="465"/>
      <c r="F2171" s="466"/>
      <c r="G2171" s="464"/>
      <c r="H2171" s="477"/>
      <c r="I2171" s="488">
        <f t="shared" si="92"/>
        <v>0</v>
      </c>
      <c r="J2171" s="488">
        <f t="shared" si="93"/>
        <v>0</v>
      </c>
      <c r="K2171" s="474"/>
      <c r="L2171" s="475"/>
    </row>
    <row r="2172" spans="1:12" x14ac:dyDescent="0.2">
      <c r="A2172" s="305">
        <v>144</v>
      </c>
      <c r="B2172" s="469" t="s">
        <v>2492</v>
      </c>
      <c r="C2172" s="476"/>
      <c r="D2172" s="464"/>
      <c r="E2172" s="465"/>
      <c r="F2172" s="466"/>
      <c r="G2172" s="464"/>
      <c r="H2172" s="477"/>
      <c r="I2172" s="473">
        <f t="shared" si="92"/>
        <v>0</v>
      </c>
      <c r="J2172" s="473">
        <f t="shared" si="93"/>
        <v>0</v>
      </c>
      <c r="K2172" s="474"/>
      <c r="L2172" s="475"/>
    </row>
    <row r="2173" spans="1:12" x14ac:dyDescent="0.2">
      <c r="A2173" s="305">
        <v>145</v>
      </c>
      <c r="B2173" s="485" t="s">
        <v>2493</v>
      </c>
      <c r="C2173" s="480"/>
      <c r="D2173" s="481"/>
      <c r="E2173" s="482"/>
      <c r="F2173" s="483"/>
      <c r="G2173" s="513"/>
      <c r="H2173" s="484"/>
      <c r="I2173" s="488">
        <f t="shared" si="92"/>
        <v>0</v>
      </c>
      <c r="J2173" s="488">
        <f t="shared" si="93"/>
        <v>0</v>
      </c>
      <c r="K2173" s="474"/>
      <c r="L2173" s="475"/>
    </row>
    <row r="2174" spans="1:12" x14ac:dyDescent="0.2">
      <c r="A2174" s="305">
        <v>146</v>
      </c>
      <c r="B2174" s="469" t="s">
        <v>2494</v>
      </c>
      <c r="C2174" s="476"/>
      <c r="D2174" s="464"/>
      <c r="E2174" s="465"/>
      <c r="F2174" s="466"/>
      <c r="G2174" s="464"/>
      <c r="H2174" s="477"/>
      <c r="I2174" s="473">
        <f t="shared" si="92"/>
        <v>0</v>
      </c>
      <c r="J2174" s="473">
        <f t="shared" si="93"/>
        <v>0</v>
      </c>
      <c r="K2174" s="474"/>
      <c r="L2174" s="475"/>
    </row>
    <row r="2175" spans="1:12" x14ac:dyDescent="0.2">
      <c r="A2175" s="305">
        <v>147</v>
      </c>
      <c r="B2175" s="485" t="s">
        <v>2495</v>
      </c>
      <c r="C2175" s="476"/>
      <c r="D2175" s="464"/>
      <c r="E2175" s="465"/>
      <c r="F2175" s="466"/>
      <c r="G2175" s="464"/>
      <c r="H2175" s="477"/>
      <c r="I2175" s="488">
        <f t="shared" si="92"/>
        <v>0</v>
      </c>
      <c r="J2175" s="488">
        <f t="shared" si="93"/>
        <v>0</v>
      </c>
      <c r="K2175" s="474"/>
      <c r="L2175" s="475"/>
    </row>
    <row r="2176" spans="1:12" x14ac:dyDescent="0.2">
      <c r="A2176" s="305">
        <v>148</v>
      </c>
      <c r="B2176" s="469" t="s">
        <v>2496</v>
      </c>
      <c r="C2176" s="476"/>
      <c r="D2176" s="464"/>
      <c r="E2176" s="465"/>
      <c r="F2176" s="466"/>
      <c r="G2176" s="464"/>
      <c r="H2176" s="477"/>
      <c r="I2176" s="473">
        <f t="shared" si="92"/>
        <v>0</v>
      </c>
      <c r="J2176" s="473">
        <f t="shared" si="93"/>
        <v>0</v>
      </c>
      <c r="K2176" s="474"/>
      <c r="L2176" s="475"/>
    </row>
    <row r="2177" spans="1:12" x14ac:dyDescent="0.2">
      <c r="A2177" s="305">
        <v>149</v>
      </c>
      <c r="B2177" s="485" t="s">
        <v>2497</v>
      </c>
      <c r="C2177" s="476"/>
      <c r="D2177" s="464"/>
      <c r="E2177" s="465"/>
      <c r="F2177" s="466"/>
      <c r="G2177" s="464"/>
      <c r="H2177" s="477"/>
      <c r="I2177" s="488">
        <f t="shared" si="92"/>
        <v>0</v>
      </c>
      <c r="J2177" s="488">
        <f t="shared" si="93"/>
        <v>0</v>
      </c>
      <c r="K2177" s="474"/>
      <c r="L2177" s="475"/>
    </row>
    <row r="2178" spans="1:12" x14ac:dyDescent="0.2">
      <c r="A2178" s="305">
        <v>150</v>
      </c>
      <c r="B2178" s="469" t="s">
        <v>2498</v>
      </c>
      <c r="C2178" s="476"/>
      <c r="D2178" s="464"/>
      <c r="E2178" s="465"/>
      <c r="F2178" s="466"/>
      <c r="G2178" s="464"/>
      <c r="H2178" s="477"/>
      <c r="I2178" s="473">
        <f t="shared" si="92"/>
        <v>0</v>
      </c>
      <c r="J2178" s="473">
        <f t="shared" si="93"/>
        <v>0</v>
      </c>
      <c r="K2178" s="474"/>
      <c r="L2178" s="475"/>
    </row>
    <row r="2179" spans="1:12" x14ac:dyDescent="0.2">
      <c r="A2179" s="305">
        <v>151</v>
      </c>
      <c r="B2179" s="485" t="s">
        <v>2499</v>
      </c>
      <c r="C2179" s="476"/>
      <c r="D2179" s="464"/>
      <c r="E2179" s="465"/>
      <c r="F2179" s="466"/>
      <c r="G2179" s="464"/>
      <c r="H2179" s="477"/>
      <c r="I2179" s="488">
        <f t="shared" si="92"/>
        <v>0</v>
      </c>
      <c r="J2179" s="488">
        <f t="shared" si="93"/>
        <v>0</v>
      </c>
      <c r="K2179" s="474"/>
      <c r="L2179" s="475"/>
    </row>
    <row r="2180" spans="1:12" x14ac:dyDescent="0.2">
      <c r="A2180" s="305">
        <v>152</v>
      </c>
      <c r="B2180" s="469" t="s">
        <v>2500</v>
      </c>
      <c r="C2180" s="476"/>
      <c r="D2180" s="464"/>
      <c r="E2180" s="465"/>
      <c r="F2180" s="466"/>
      <c r="G2180" s="464"/>
      <c r="H2180" s="477"/>
      <c r="I2180" s="473">
        <f t="shared" si="92"/>
        <v>0</v>
      </c>
      <c r="J2180" s="473">
        <f t="shared" si="93"/>
        <v>0</v>
      </c>
      <c r="K2180" s="474"/>
      <c r="L2180" s="475"/>
    </row>
    <row r="2181" spans="1:12" x14ac:dyDescent="0.2">
      <c r="A2181" s="305">
        <v>153</v>
      </c>
      <c r="B2181" s="485" t="s">
        <v>2501</v>
      </c>
      <c r="C2181" s="480"/>
      <c r="D2181" s="481"/>
      <c r="E2181" s="482"/>
      <c r="F2181" s="483"/>
      <c r="G2181" s="513"/>
      <c r="H2181" s="484"/>
      <c r="I2181" s="488">
        <f t="shared" si="92"/>
        <v>0</v>
      </c>
      <c r="J2181" s="488">
        <f t="shared" si="93"/>
        <v>0</v>
      </c>
      <c r="K2181" s="474"/>
      <c r="L2181" s="475"/>
    </row>
    <row r="2182" spans="1:12" x14ac:dyDescent="0.2">
      <c r="A2182" s="305">
        <v>154</v>
      </c>
      <c r="B2182" s="469" t="s">
        <v>2502</v>
      </c>
      <c r="C2182" s="476"/>
      <c r="D2182" s="464"/>
      <c r="E2182" s="465"/>
      <c r="F2182" s="466"/>
      <c r="G2182" s="464"/>
      <c r="H2182" s="477"/>
      <c r="I2182" s="473">
        <f t="shared" si="92"/>
        <v>0</v>
      </c>
      <c r="J2182" s="473">
        <f t="shared" si="93"/>
        <v>0</v>
      </c>
      <c r="K2182" s="474"/>
      <c r="L2182" s="475"/>
    </row>
    <row r="2183" spans="1:12" x14ac:dyDescent="0.2">
      <c r="A2183" s="305">
        <v>155</v>
      </c>
      <c r="B2183" s="485" t="s">
        <v>2503</v>
      </c>
      <c r="C2183" s="476"/>
      <c r="D2183" s="464"/>
      <c r="E2183" s="465"/>
      <c r="F2183" s="466"/>
      <c r="G2183" s="464"/>
      <c r="H2183" s="477"/>
      <c r="I2183" s="488">
        <f t="shared" si="92"/>
        <v>0</v>
      </c>
      <c r="J2183" s="488">
        <f t="shared" si="93"/>
        <v>0</v>
      </c>
      <c r="K2183" s="474"/>
      <c r="L2183" s="475"/>
    </row>
    <row r="2184" spans="1:12" x14ac:dyDescent="0.2">
      <c r="A2184" s="305">
        <v>156</v>
      </c>
      <c r="B2184" s="469" t="s">
        <v>2504</v>
      </c>
      <c r="C2184" s="476"/>
      <c r="D2184" s="464"/>
      <c r="E2184" s="465"/>
      <c r="F2184" s="466"/>
      <c r="G2184" s="464"/>
      <c r="H2184" s="477"/>
      <c r="I2184" s="473">
        <f t="shared" si="92"/>
        <v>0</v>
      </c>
      <c r="J2184" s="473">
        <f t="shared" si="93"/>
        <v>0</v>
      </c>
      <c r="K2184" s="474"/>
      <c r="L2184" s="475"/>
    </row>
    <row r="2185" spans="1:12" x14ac:dyDescent="0.2">
      <c r="A2185" s="305">
        <v>157</v>
      </c>
      <c r="B2185" s="485" t="s">
        <v>2505</v>
      </c>
      <c r="C2185" s="476"/>
      <c r="D2185" s="464"/>
      <c r="E2185" s="465"/>
      <c r="F2185" s="466"/>
      <c r="G2185" s="464"/>
      <c r="H2185" s="477"/>
      <c r="I2185" s="488">
        <f t="shared" si="92"/>
        <v>0</v>
      </c>
      <c r="J2185" s="488">
        <f t="shared" si="93"/>
        <v>0</v>
      </c>
      <c r="K2185" s="474"/>
      <c r="L2185" s="475"/>
    </row>
    <row r="2186" spans="1:12" x14ac:dyDescent="0.2">
      <c r="A2186" s="305">
        <v>158</v>
      </c>
      <c r="B2186" s="469" t="s">
        <v>2506</v>
      </c>
      <c r="C2186" s="480"/>
      <c r="D2186" s="481"/>
      <c r="E2186" s="482"/>
      <c r="F2186" s="483"/>
      <c r="G2186" s="513"/>
      <c r="H2186" s="484"/>
      <c r="I2186" s="473">
        <f t="shared" si="92"/>
        <v>0</v>
      </c>
      <c r="J2186" s="473">
        <f t="shared" si="93"/>
        <v>0</v>
      </c>
      <c r="K2186" s="474"/>
      <c r="L2186" s="475"/>
    </row>
    <row r="2187" spans="1:12" x14ac:dyDescent="0.2">
      <c r="A2187" s="305">
        <v>159</v>
      </c>
      <c r="B2187" s="485" t="s">
        <v>2507</v>
      </c>
      <c r="C2187" s="476"/>
      <c r="D2187" s="464"/>
      <c r="E2187" s="465"/>
      <c r="F2187" s="466"/>
      <c r="G2187" s="464"/>
      <c r="H2187" s="477"/>
      <c r="I2187" s="488">
        <f t="shared" si="92"/>
        <v>0</v>
      </c>
      <c r="J2187" s="488">
        <f t="shared" si="93"/>
        <v>0</v>
      </c>
      <c r="K2187" s="474"/>
      <c r="L2187" s="475"/>
    </row>
    <row r="2188" spans="1:12" x14ac:dyDescent="0.2">
      <c r="A2188" s="305">
        <v>160</v>
      </c>
      <c r="B2188" s="469" t="s">
        <v>2508</v>
      </c>
      <c r="C2188" s="476"/>
      <c r="D2188" s="464"/>
      <c r="E2188" s="465"/>
      <c r="F2188" s="466"/>
      <c r="G2188" s="464"/>
      <c r="H2188" s="477"/>
      <c r="I2188" s="473">
        <f t="shared" si="92"/>
        <v>0</v>
      </c>
      <c r="J2188" s="473">
        <f t="shared" si="93"/>
        <v>0</v>
      </c>
      <c r="K2188" s="474"/>
      <c r="L2188" s="475"/>
    </row>
    <row r="2189" spans="1:12" x14ac:dyDescent="0.2">
      <c r="A2189" s="305">
        <v>161</v>
      </c>
      <c r="B2189" s="485" t="s">
        <v>2509</v>
      </c>
      <c r="C2189" s="476"/>
      <c r="D2189" s="464"/>
      <c r="E2189" s="465"/>
      <c r="F2189" s="466"/>
      <c r="G2189" s="464"/>
      <c r="H2189" s="477"/>
      <c r="I2189" s="488">
        <f t="shared" si="92"/>
        <v>0</v>
      </c>
      <c r="J2189" s="488">
        <f t="shared" si="93"/>
        <v>0</v>
      </c>
      <c r="K2189" s="474"/>
      <c r="L2189" s="475"/>
    </row>
    <row r="2190" spans="1:12" x14ac:dyDescent="0.2">
      <c r="A2190" s="305">
        <v>162</v>
      </c>
      <c r="B2190" s="469" t="s">
        <v>2510</v>
      </c>
      <c r="C2190" s="476"/>
      <c r="D2190" s="464"/>
      <c r="E2190" s="465"/>
      <c r="F2190" s="466"/>
      <c r="G2190" s="464"/>
      <c r="H2190" s="477"/>
      <c r="I2190" s="473">
        <f t="shared" si="92"/>
        <v>0</v>
      </c>
      <c r="J2190" s="473">
        <f t="shared" si="93"/>
        <v>0</v>
      </c>
      <c r="K2190" s="474"/>
      <c r="L2190" s="475"/>
    </row>
    <row r="2191" spans="1:12" x14ac:dyDescent="0.2">
      <c r="A2191" s="305">
        <v>163</v>
      </c>
      <c r="B2191" s="485" t="s">
        <v>2511</v>
      </c>
      <c r="C2191" s="476"/>
      <c r="D2191" s="464"/>
      <c r="E2191" s="465"/>
      <c r="F2191" s="466"/>
      <c r="G2191" s="464"/>
      <c r="H2191" s="477"/>
      <c r="I2191" s="488">
        <f t="shared" si="92"/>
        <v>0</v>
      </c>
      <c r="J2191" s="488">
        <f t="shared" si="93"/>
        <v>0</v>
      </c>
      <c r="K2191" s="474"/>
      <c r="L2191" s="475"/>
    </row>
    <row r="2192" spans="1:12" x14ac:dyDescent="0.2">
      <c r="A2192" s="305">
        <v>164</v>
      </c>
      <c r="B2192" s="469" t="s">
        <v>2512</v>
      </c>
      <c r="C2192" s="476"/>
      <c r="D2192" s="464"/>
      <c r="E2192" s="465"/>
      <c r="F2192" s="466"/>
      <c r="G2192" s="464"/>
      <c r="H2192" s="477"/>
      <c r="I2192" s="473">
        <f t="shared" si="92"/>
        <v>0</v>
      </c>
      <c r="J2192" s="473">
        <f t="shared" si="93"/>
        <v>0</v>
      </c>
      <c r="K2192" s="474"/>
      <c r="L2192" s="475"/>
    </row>
    <row r="2193" spans="1:12" x14ac:dyDescent="0.2">
      <c r="A2193" s="305">
        <v>165</v>
      </c>
      <c r="B2193" s="485" t="s">
        <v>2513</v>
      </c>
      <c r="C2193" s="476"/>
      <c r="D2193" s="464"/>
      <c r="E2193" s="465"/>
      <c r="F2193" s="466"/>
      <c r="G2193" s="464"/>
      <c r="H2193" s="477"/>
      <c r="I2193" s="488">
        <f t="shared" si="92"/>
        <v>0</v>
      </c>
      <c r="J2193" s="488">
        <f t="shared" si="93"/>
        <v>0</v>
      </c>
      <c r="K2193" s="474"/>
      <c r="L2193" s="475"/>
    </row>
    <row r="2194" spans="1:12" x14ac:dyDescent="0.2">
      <c r="A2194" s="305">
        <v>166</v>
      </c>
      <c r="B2194" s="469" t="s">
        <v>2514</v>
      </c>
      <c r="C2194" s="480"/>
      <c r="D2194" s="481"/>
      <c r="E2194" s="482"/>
      <c r="F2194" s="483"/>
      <c r="G2194" s="513"/>
      <c r="H2194" s="484"/>
      <c r="I2194" s="473">
        <f t="shared" si="92"/>
        <v>0</v>
      </c>
      <c r="J2194" s="473">
        <f t="shared" si="93"/>
        <v>0</v>
      </c>
      <c r="K2194" s="474"/>
      <c r="L2194" s="475"/>
    </row>
    <row r="2195" spans="1:12" x14ac:dyDescent="0.2">
      <c r="A2195" s="305">
        <v>167</v>
      </c>
      <c r="B2195" s="485" t="s">
        <v>2515</v>
      </c>
      <c r="C2195" s="476"/>
      <c r="D2195" s="464"/>
      <c r="E2195" s="465"/>
      <c r="F2195" s="466"/>
      <c r="G2195" s="464"/>
      <c r="H2195" s="477"/>
      <c r="I2195" s="488">
        <f t="shared" si="92"/>
        <v>0</v>
      </c>
      <c r="J2195" s="488">
        <f t="shared" si="93"/>
        <v>0</v>
      </c>
      <c r="K2195" s="474"/>
      <c r="L2195" s="475"/>
    </row>
    <row r="2196" spans="1:12" x14ac:dyDescent="0.2">
      <c r="A2196" s="305">
        <v>168</v>
      </c>
      <c r="B2196" s="469" t="s">
        <v>2516</v>
      </c>
      <c r="C2196" s="476"/>
      <c r="D2196" s="464"/>
      <c r="E2196" s="465"/>
      <c r="F2196" s="466"/>
      <c r="G2196" s="464"/>
      <c r="H2196" s="477"/>
      <c r="I2196" s="473">
        <f t="shared" si="92"/>
        <v>0</v>
      </c>
      <c r="J2196" s="473">
        <f t="shared" si="93"/>
        <v>0</v>
      </c>
      <c r="K2196" s="474"/>
      <c r="L2196" s="475"/>
    </row>
    <row r="2197" spans="1:12" x14ac:dyDescent="0.2">
      <c r="A2197" s="305">
        <v>169</v>
      </c>
      <c r="B2197" s="485" t="s">
        <v>2517</v>
      </c>
      <c r="C2197" s="476"/>
      <c r="D2197" s="464"/>
      <c r="E2197" s="465"/>
      <c r="F2197" s="466"/>
      <c r="G2197" s="464"/>
      <c r="H2197" s="477"/>
      <c r="I2197" s="488">
        <f t="shared" si="92"/>
        <v>0</v>
      </c>
      <c r="J2197" s="488">
        <f t="shared" si="93"/>
        <v>0</v>
      </c>
      <c r="K2197" s="474"/>
      <c r="L2197" s="475"/>
    </row>
    <row r="2198" spans="1:12" x14ac:dyDescent="0.2">
      <c r="A2198" s="305">
        <v>170</v>
      </c>
      <c r="B2198" s="469" t="s">
        <v>2518</v>
      </c>
      <c r="C2198" s="476"/>
      <c r="D2198" s="464"/>
      <c r="E2198" s="465"/>
      <c r="F2198" s="466"/>
      <c r="G2198" s="464"/>
      <c r="H2198" s="477"/>
      <c r="I2198" s="473">
        <f t="shared" si="92"/>
        <v>0</v>
      </c>
      <c r="J2198" s="473">
        <f t="shared" si="93"/>
        <v>0</v>
      </c>
      <c r="K2198" s="474"/>
      <c r="L2198" s="475"/>
    </row>
    <row r="2199" spans="1:12" x14ac:dyDescent="0.2">
      <c r="A2199" s="305">
        <v>171</v>
      </c>
      <c r="B2199" s="485" t="s">
        <v>2519</v>
      </c>
      <c r="C2199" s="476"/>
      <c r="D2199" s="464"/>
      <c r="E2199" s="465"/>
      <c r="F2199" s="466"/>
      <c r="G2199" s="464"/>
      <c r="H2199" s="477"/>
      <c r="I2199" s="488">
        <f t="shared" si="92"/>
        <v>0</v>
      </c>
      <c r="J2199" s="488">
        <f t="shared" si="93"/>
        <v>0</v>
      </c>
      <c r="K2199" s="474"/>
      <c r="L2199" s="475"/>
    </row>
    <row r="2200" spans="1:12" x14ac:dyDescent="0.2">
      <c r="A2200" s="305">
        <v>172</v>
      </c>
      <c r="B2200" s="469" t="s">
        <v>2520</v>
      </c>
      <c r="C2200" s="476"/>
      <c r="D2200" s="464"/>
      <c r="E2200" s="465"/>
      <c r="F2200" s="466"/>
      <c r="G2200" s="464"/>
      <c r="H2200" s="477"/>
      <c r="I2200" s="473">
        <f t="shared" si="92"/>
        <v>0</v>
      </c>
      <c r="J2200" s="473">
        <f t="shared" si="93"/>
        <v>0</v>
      </c>
      <c r="K2200" s="474"/>
      <c r="L2200" s="475"/>
    </row>
    <row r="2201" spans="1:12" x14ac:dyDescent="0.2">
      <c r="A2201" s="305">
        <v>173</v>
      </c>
      <c r="B2201" s="485" t="s">
        <v>2521</v>
      </c>
      <c r="C2201" s="476"/>
      <c r="D2201" s="464"/>
      <c r="E2201" s="465"/>
      <c r="F2201" s="466"/>
      <c r="G2201" s="464"/>
      <c r="H2201" s="477"/>
      <c r="I2201" s="488">
        <f t="shared" si="92"/>
        <v>0</v>
      </c>
      <c r="J2201" s="488">
        <f t="shared" si="93"/>
        <v>0</v>
      </c>
      <c r="K2201" s="474"/>
      <c r="L2201" s="475"/>
    </row>
    <row r="2202" spans="1:12" x14ac:dyDescent="0.2">
      <c r="A2202" s="305">
        <v>174</v>
      </c>
      <c r="B2202" s="469" t="s">
        <v>2522</v>
      </c>
      <c r="C2202" s="476"/>
      <c r="D2202" s="464"/>
      <c r="E2202" s="465"/>
      <c r="F2202" s="466"/>
      <c r="G2202" s="464"/>
      <c r="H2202" s="477"/>
      <c r="I2202" s="473">
        <f t="shared" si="92"/>
        <v>0</v>
      </c>
      <c r="J2202" s="473">
        <f t="shared" si="93"/>
        <v>0</v>
      </c>
      <c r="K2202" s="474"/>
      <c r="L2202" s="475"/>
    </row>
    <row r="2203" spans="1:12" x14ac:dyDescent="0.2">
      <c r="A2203" s="305">
        <v>175</v>
      </c>
      <c r="B2203" s="485" t="s">
        <v>2523</v>
      </c>
      <c r="C2203" s="476"/>
      <c r="D2203" s="464"/>
      <c r="E2203" s="465"/>
      <c r="F2203" s="466"/>
      <c r="G2203" s="464"/>
      <c r="H2203" s="477"/>
      <c r="I2203" s="488">
        <f t="shared" si="92"/>
        <v>0</v>
      </c>
      <c r="J2203" s="488">
        <f t="shared" si="93"/>
        <v>0</v>
      </c>
      <c r="K2203" s="474"/>
      <c r="L2203" s="475"/>
    </row>
    <row r="2204" spans="1:12" x14ac:dyDescent="0.2">
      <c r="A2204" s="305">
        <v>176</v>
      </c>
      <c r="B2204" s="469" t="s">
        <v>2524</v>
      </c>
      <c r="C2204" s="476"/>
      <c r="D2204" s="464"/>
      <c r="E2204" s="465"/>
      <c r="F2204" s="466"/>
      <c r="G2204" s="464"/>
      <c r="H2204" s="477"/>
      <c r="I2204" s="473">
        <f t="shared" si="92"/>
        <v>0</v>
      </c>
      <c r="J2204" s="473">
        <f t="shared" si="93"/>
        <v>0</v>
      </c>
      <c r="K2204" s="474"/>
      <c r="L2204" s="475"/>
    </row>
    <row r="2205" spans="1:12" x14ac:dyDescent="0.2">
      <c r="A2205" s="305">
        <v>177</v>
      </c>
      <c r="B2205" s="485" t="s">
        <v>2525</v>
      </c>
      <c r="C2205" s="480"/>
      <c r="D2205" s="481"/>
      <c r="E2205" s="482"/>
      <c r="F2205" s="483"/>
      <c r="G2205" s="513"/>
      <c r="H2205" s="484"/>
      <c r="I2205" s="488">
        <f t="shared" si="92"/>
        <v>0</v>
      </c>
      <c r="J2205" s="488">
        <f t="shared" si="93"/>
        <v>0</v>
      </c>
      <c r="K2205" s="474"/>
      <c r="L2205" s="475"/>
    </row>
    <row r="2206" spans="1:12" x14ac:dyDescent="0.2">
      <c r="A2206" s="305">
        <v>178</v>
      </c>
      <c r="B2206" s="469" t="s">
        <v>2526</v>
      </c>
      <c r="C2206" s="476"/>
      <c r="D2206" s="464"/>
      <c r="E2206" s="465"/>
      <c r="F2206" s="466"/>
      <c r="G2206" s="464"/>
      <c r="H2206" s="477"/>
      <c r="I2206" s="473">
        <f t="shared" si="92"/>
        <v>0</v>
      </c>
      <c r="J2206" s="473">
        <f t="shared" si="93"/>
        <v>0</v>
      </c>
      <c r="K2206" s="474"/>
      <c r="L2206" s="475"/>
    </row>
    <row r="2207" spans="1:12" x14ac:dyDescent="0.2">
      <c r="A2207" s="305">
        <v>179</v>
      </c>
      <c r="B2207" s="485" t="s">
        <v>2527</v>
      </c>
      <c r="C2207" s="476"/>
      <c r="D2207" s="464"/>
      <c r="E2207" s="465"/>
      <c r="F2207" s="466"/>
      <c r="G2207" s="464"/>
      <c r="H2207" s="477"/>
      <c r="I2207" s="488">
        <f t="shared" si="92"/>
        <v>0</v>
      </c>
      <c r="J2207" s="488">
        <f t="shared" si="93"/>
        <v>0</v>
      </c>
      <c r="K2207" s="474"/>
      <c r="L2207" s="475"/>
    </row>
    <row r="2208" spans="1:12" x14ac:dyDescent="0.2">
      <c r="A2208" s="305">
        <v>180</v>
      </c>
      <c r="B2208" s="469" t="s">
        <v>2528</v>
      </c>
      <c r="C2208" s="476"/>
      <c r="D2208" s="464"/>
      <c r="E2208" s="465"/>
      <c r="F2208" s="466"/>
      <c r="G2208" s="464"/>
      <c r="H2208" s="477"/>
      <c r="I2208" s="473">
        <f t="shared" si="92"/>
        <v>0</v>
      </c>
      <c r="J2208" s="473">
        <f t="shared" si="93"/>
        <v>0</v>
      </c>
      <c r="K2208" s="474"/>
      <c r="L2208" s="475"/>
    </row>
    <row r="2209" spans="1:12" x14ac:dyDescent="0.2">
      <c r="A2209" s="305">
        <v>181</v>
      </c>
      <c r="B2209" s="485" t="s">
        <v>2529</v>
      </c>
      <c r="C2209" s="476"/>
      <c r="D2209" s="464"/>
      <c r="E2209" s="465"/>
      <c r="F2209" s="466"/>
      <c r="G2209" s="464"/>
      <c r="H2209" s="477"/>
      <c r="I2209" s="488">
        <f t="shared" si="92"/>
        <v>0</v>
      </c>
      <c r="J2209" s="488">
        <f t="shared" si="93"/>
        <v>0</v>
      </c>
      <c r="K2209" s="474"/>
      <c r="L2209" s="475"/>
    </row>
    <row r="2210" spans="1:12" x14ac:dyDescent="0.2">
      <c r="A2210" s="305">
        <v>182</v>
      </c>
      <c r="B2210" s="469" t="s">
        <v>2530</v>
      </c>
      <c r="C2210" s="480"/>
      <c r="D2210" s="481"/>
      <c r="E2210" s="482"/>
      <c r="F2210" s="483"/>
      <c r="G2210" s="513"/>
      <c r="H2210" s="484"/>
      <c r="I2210" s="473">
        <f t="shared" si="92"/>
        <v>0</v>
      </c>
      <c r="J2210" s="473">
        <f t="shared" si="93"/>
        <v>0</v>
      </c>
      <c r="K2210" s="474"/>
      <c r="L2210" s="475"/>
    </row>
    <row r="2211" spans="1:12" x14ac:dyDescent="0.2">
      <c r="A2211" s="305">
        <v>183</v>
      </c>
      <c r="B2211" s="485" t="s">
        <v>2531</v>
      </c>
      <c r="C2211" s="476"/>
      <c r="D2211" s="464"/>
      <c r="E2211" s="465"/>
      <c r="F2211" s="466"/>
      <c r="G2211" s="464"/>
      <c r="H2211" s="477"/>
      <c r="I2211" s="488">
        <f t="shared" si="92"/>
        <v>0</v>
      </c>
      <c r="J2211" s="488">
        <f t="shared" si="93"/>
        <v>0</v>
      </c>
      <c r="K2211" s="474"/>
      <c r="L2211" s="475"/>
    </row>
    <row r="2212" spans="1:12" x14ac:dyDescent="0.2">
      <c r="A2212" s="305">
        <v>184</v>
      </c>
      <c r="B2212" s="469" t="s">
        <v>2532</v>
      </c>
      <c r="C2212" s="476"/>
      <c r="D2212" s="464"/>
      <c r="E2212" s="465"/>
      <c r="F2212" s="466"/>
      <c r="G2212" s="464"/>
      <c r="H2212" s="477"/>
      <c r="I2212" s="473">
        <f t="shared" si="92"/>
        <v>0</v>
      </c>
      <c r="J2212" s="473">
        <f t="shared" si="93"/>
        <v>0</v>
      </c>
      <c r="K2212" s="474"/>
      <c r="L2212" s="475"/>
    </row>
    <row r="2213" spans="1:12" x14ac:dyDescent="0.2">
      <c r="A2213" s="305">
        <v>185</v>
      </c>
      <c r="B2213" s="485" t="s">
        <v>2533</v>
      </c>
      <c r="C2213" s="476"/>
      <c r="D2213" s="464"/>
      <c r="E2213" s="465"/>
      <c r="F2213" s="466"/>
      <c r="G2213" s="464"/>
      <c r="H2213" s="477"/>
      <c r="I2213" s="488">
        <f t="shared" si="92"/>
        <v>0</v>
      </c>
      <c r="J2213" s="488">
        <f t="shared" si="93"/>
        <v>0</v>
      </c>
      <c r="K2213" s="474"/>
      <c r="L2213" s="475"/>
    </row>
    <row r="2214" spans="1:12" x14ac:dyDescent="0.2">
      <c r="A2214" s="305">
        <v>186</v>
      </c>
      <c r="B2214" s="469" t="s">
        <v>2534</v>
      </c>
      <c r="C2214" s="476"/>
      <c r="D2214" s="464"/>
      <c r="E2214" s="465"/>
      <c r="F2214" s="466"/>
      <c r="G2214" s="464"/>
      <c r="H2214" s="477"/>
      <c r="I2214" s="473">
        <f t="shared" si="92"/>
        <v>0</v>
      </c>
      <c r="J2214" s="473">
        <f t="shared" si="93"/>
        <v>0</v>
      </c>
      <c r="K2214" s="474"/>
      <c r="L2214" s="475"/>
    </row>
    <row r="2215" spans="1:12" x14ac:dyDescent="0.2">
      <c r="A2215" s="305">
        <v>187</v>
      </c>
      <c r="B2215" s="485" t="s">
        <v>2535</v>
      </c>
      <c r="C2215" s="476"/>
      <c r="D2215" s="464"/>
      <c r="E2215" s="465"/>
      <c r="F2215" s="466"/>
      <c r="G2215" s="464"/>
      <c r="H2215" s="477"/>
      <c r="I2215" s="488">
        <f t="shared" si="92"/>
        <v>0</v>
      </c>
      <c r="J2215" s="488">
        <f t="shared" si="93"/>
        <v>0</v>
      </c>
      <c r="K2215" s="474"/>
      <c r="L2215" s="475"/>
    </row>
    <row r="2216" spans="1:12" x14ac:dyDescent="0.2">
      <c r="A2216" s="305">
        <v>188</v>
      </c>
      <c r="B2216" s="469" t="s">
        <v>2536</v>
      </c>
      <c r="C2216" s="476"/>
      <c r="D2216" s="464"/>
      <c r="E2216" s="465"/>
      <c r="F2216" s="466"/>
      <c r="G2216" s="464"/>
      <c r="H2216" s="477"/>
      <c r="I2216" s="473">
        <f t="shared" si="92"/>
        <v>0</v>
      </c>
      <c r="J2216" s="473">
        <f t="shared" si="93"/>
        <v>0</v>
      </c>
      <c r="K2216" s="474"/>
      <c r="L2216" s="475"/>
    </row>
    <row r="2217" spans="1:12" x14ac:dyDescent="0.2">
      <c r="A2217" s="305">
        <v>189</v>
      </c>
      <c r="B2217" s="485" t="s">
        <v>2537</v>
      </c>
      <c r="C2217" s="476"/>
      <c r="D2217" s="464"/>
      <c r="E2217" s="465"/>
      <c r="F2217" s="466"/>
      <c r="G2217" s="464"/>
      <c r="H2217" s="477"/>
      <c r="I2217" s="488">
        <f t="shared" si="92"/>
        <v>0</v>
      </c>
      <c r="J2217" s="488">
        <f t="shared" si="93"/>
        <v>0</v>
      </c>
      <c r="K2217" s="474"/>
      <c r="L2217" s="475"/>
    </row>
    <row r="2218" spans="1:12" x14ac:dyDescent="0.2">
      <c r="A2218" s="305">
        <v>190</v>
      </c>
      <c r="B2218" s="469" t="s">
        <v>2538</v>
      </c>
      <c r="C2218" s="480"/>
      <c r="D2218" s="481"/>
      <c r="E2218" s="482"/>
      <c r="F2218" s="483"/>
      <c r="G2218" s="513"/>
      <c r="H2218" s="484"/>
      <c r="I2218" s="473">
        <f t="shared" si="92"/>
        <v>0</v>
      </c>
      <c r="J2218" s="473">
        <f t="shared" si="93"/>
        <v>0</v>
      </c>
      <c r="K2218" s="474"/>
      <c r="L2218" s="475"/>
    </row>
    <row r="2219" spans="1:12" x14ac:dyDescent="0.2">
      <c r="A2219" s="305">
        <v>191</v>
      </c>
      <c r="B2219" s="485" t="s">
        <v>2539</v>
      </c>
      <c r="C2219" s="476"/>
      <c r="D2219" s="464"/>
      <c r="E2219" s="465"/>
      <c r="F2219" s="466"/>
      <c r="G2219" s="464"/>
      <c r="H2219" s="477"/>
      <c r="I2219" s="488">
        <f t="shared" si="92"/>
        <v>0</v>
      </c>
      <c r="J2219" s="488">
        <f t="shared" si="93"/>
        <v>0</v>
      </c>
      <c r="K2219" s="474"/>
      <c r="L2219" s="475"/>
    </row>
    <row r="2220" spans="1:12" x14ac:dyDescent="0.2">
      <c r="A2220" s="305">
        <v>192</v>
      </c>
      <c r="B2220" s="469" t="s">
        <v>2540</v>
      </c>
      <c r="C2220" s="476"/>
      <c r="D2220" s="464"/>
      <c r="E2220" s="465"/>
      <c r="F2220" s="466"/>
      <c r="G2220" s="464"/>
      <c r="H2220" s="477"/>
      <c r="I2220" s="473">
        <f t="shared" si="92"/>
        <v>0</v>
      </c>
      <c r="J2220" s="473">
        <f t="shared" si="93"/>
        <v>0</v>
      </c>
      <c r="K2220" s="474"/>
      <c r="L2220" s="475"/>
    </row>
    <row r="2221" spans="1:12" x14ac:dyDescent="0.2">
      <c r="A2221" s="305">
        <v>193</v>
      </c>
      <c r="B2221" s="485" t="s">
        <v>2541</v>
      </c>
      <c r="C2221" s="476"/>
      <c r="D2221" s="464"/>
      <c r="E2221" s="465"/>
      <c r="F2221" s="466"/>
      <c r="G2221" s="464"/>
      <c r="H2221" s="477"/>
      <c r="I2221" s="488">
        <f t="shared" si="92"/>
        <v>0</v>
      </c>
      <c r="J2221" s="488">
        <f t="shared" si="93"/>
        <v>0</v>
      </c>
      <c r="K2221" s="474"/>
      <c r="L2221" s="475"/>
    </row>
    <row r="2222" spans="1:12" x14ac:dyDescent="0.2">
      <c r="A2222" s="305">
        <v>194</v>
      </c>
      <c r="B2222" s="469" t="s">
        <v>2542</v>
      </c>
      <c r="C2222" s="476"/>
      <c r="D2222" s="464"/>
      <c r="E2222" s="465"/>
      <c r="F2222" s="466"/>
      <c r="G2222" s="464"/>
      <c r="H2222" s="477"/>
      <c r="I2222" s="473">
        <f t="shared" si="92"/>
        <v>0</v>
      </c>
      <c r="J2222" s="473">
        <f t="shared" si="93"/>
        <v>0</v>
      </c>
      <c r="K2222" s="474"/>
      <c r="L2222" s="475"/>
    </row>
    <row r="2223" spans="1:12" x14ac:dyDescent="0.2">
      <c r="A2223" s="305">
        <v>195</v>
      </c>
      <c r="B2223" s="485" t="s">
        <v>2543</v>
      </c>
      <c r="C2223" s="476"/>
      <c r="D2223" s="464"/>
      <c r="E2223" s="465"/>
      <c r="F2223" s="466"/>
      <c r="G2223" s="464"/>
      <c r="H2223" s="477"/>
      <c r="I2223" s="488">
        <f t="shared" ref="I2223:I2228" si="94">K2223/1.11</f>
        <v>0</v>
      </c>
      <c r="J2223" s="488">
        <f t="shared" ref="J2223:J2228" si="95">I2223*11%</f>
        <v>0</v>
      </c>
      <c r="K2223" s="474"/>
      <c r="L2223" s="475"/>
    </row>
    <row r="2224" spans="1:12" x14ac:dyDescent="0.2">
      <c r="A2224" s="305">
        <v>196</v>
      </c>
      <c r="B2224" s="469" t="s">
        <v>2544</v>
      </c>
      <c r="C2224" s="476"/>
      <c r="D2224" s="464"/>
      <c r="E2224" s="465"/>
      <c r="F2224" s="466"/>
      <c r="G2224" s="464"/>
      <c r="H2224" s="477"/>
      <c r="I2224" s="473">
        <f t="shared" si="94"/>
        <v>0</v>
      </c>
      <c r="J2224" s="473">
        <f t="shared" si="95"/>
        <v>0</v>
      </c>
      <c r="K2224" s="474"/>
      <c r="L2224" s="475"/>
    </row>
    <row r="2225" spans="1:12" x14ac:dyDescent="0.2">
      <c r="A2225" s="305">
        <v>197</v>
      </c>
      <c r="B2225" s="485" t="s">
        <v>2545</v>
      </c>
      <c r="C2225" s="480"/>
      <c r="D2225" s="481"/>
      <c r="E2225" s="482"/>
      <c r="F2225" s="483"/>
      <c r="G2225" s="513"/>
      <c r="H2225" s="484"/>
      <c r="I2225" s="488">
        <f t="shared" si="94"/>
        <v>0</v>
      </c>
      <c r="J2225" s="488">
        <f t="shared" si="95"/>
        <v>0</v>
      </c>
      <c r="K2225" s="474"/>
      <c r="L2225" s="475"/>
    </row>
    <row r="2226" spans="1:12" x14ac:dyDescent="0.2">
      <c r="A2226" s="305">
        <v>198</v>
      </c>
      <c r="B2226" s="469" t="s">
        <v>2546</v>
      </c>
      <c r="C2226" s="476"/>
      <c r="D2226" s="464"/>
      <c r="E2226" s="465"/>
      <c r="F2226" s="466"/>
      <c r="G2226" s="464"/>
      <c r="H2226" s="477"/>
      <c r="I2226" s="473">
        <f t="shared" si="94"/>
        <v>0</v>
      </c>
      <c r="J2226" s="473">
        <f t="shared" si="95"/>
        <v>0</v>
      </c>
      <c r="K2226" s="474"/>
      <c r="L2226" s="475"/>
    </row>
    <row r="2227" spans="1:12" x14ac:dyDescent="0.2">
      <c r="A2227" s="305">
        <v>199</v>
      </c>
      <c r="B2227" s="485" t="s">
        <v>2547</v>
      </c>
      <c r="C2227" s="476"/>
      <c r="D2227" s="464"/>
      <c r="E2227" s="465"/>
      <c r="F2227" s="466"/>
      <c r="G2227" s="464"/>
      <c r="H2227" s="477"/>
      <c r="I2227" s="488">
        <f t="shared" si="94"/>
        <v>0</v>
      </c>
      <c r="J2227" s="488">
        <f t="shared" si="95"/>
        <v>0</v>
      </c>
      <c r="K2227" s="474"/>
      <c r="L2227" s="475"/>
    </row>
    <row r="2228" spans="1:12" x14ac:dyDescent="0.2">
      <c r="A2228" s="305">
        <v>200</v>
      </c>
      <c r="B2228" s="469" t="s">
        <v>2548</v>
      </c>
      <c r="C2228" s="476"/>
      <c r="D2228" s="464"/>
      <c r="E2228" s="465"/>
      <c r="F2228" s="466"/>
      <c r="G2228" s="464"/>
      <c r="H2228" s="477"/>
      <c r="I2228" s="473">
        <f t="shared" si="94"/>
        <v>0</v>
      </c>
      <c r="J2228" s="473">
        <f t="shared" si="95"/>
        <v>0</v>
      </c>
      <c r="K2228" s="474"/>
      <c r="L2228" s="475"/>
    </row>
    <row r="2229" spans="1:12" ht="18.75" thickBot="1" x14ac:dyDescent="0.3">
      <c r="B2229" s="457" t="s">
        <v>214</v>
      </c>
      <c r="C2229" s="450"/>
      <c r="D2229" s="451"/>
      <c r="E2229" s="452"/>
      <c r="F2229" s="453"/>
      <c r="G2229" s="515"/>
      <c r="H2229" s="456"/>
      <c r="I2229" s="454">
        <f>SUM(I2029:I2228)</f>
        <v>269180481.4954955</v>
      </c>
      <c r="J2229" s="454">
        <f>SUM(J2029:J2228)</f>
        <v>29609852.964504506</v>
      </c>
      <c r="K2229" s="454">
        <f>SUM(K2029:K2228)</f>
        <v>298790334.45999998</v>
      </c>
      <c r="L2229" s="455"/>
    </row>
    <row r="2230" spans="1:12" x14ac:dyDescent="0.2">
      <c r="A2230" s="41"/>
    </row>
    <row r="2231" spans="1:12" ht="25.5" x14ac:dyDescent="0.35">
      <c r="A2231" s="41"/>
      <c r="B2231" s="323" t="s">
        <v>301</v>
      </c>
      <c r="C2231" s="334"/>
      <c r="D2231" s="334"/>
      <c r="E2231" s="307">
        <f>K193+K370+K557+K674+K881+K1099+K1332+K1520+K1673+K1835+K2027+K2229</f>
        <v>20537953351.459999</v>
      </c>
      <c r="F2231" s="334"/>
      <c r="G2231" s="516"/>
      <c r="H2231" s="41"/>
      <c r="I2231" s="313"/>
      <c r="J2231" s="313"/>
      <c r="K2231" s="351"/>
      <c r="L2231" s="288"/>
    </row>
  </sheetData>
  <sortState ref="B1881:K2026">
    <sortCondition ref="H1881:H2026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906" t="s">
        <v>112</v>
      </c>
      <c r="B1" s="906"/>
      <c r="C1" s="906"/>
      <c r="D1" s="906"/>
      <c r="E1" s="906"/>
      <c r="F1" s="906"/>
      <c r="G1" s="906"/>
      <c r="H1" s="906"/>
      <c r="I1" s="906"/>
      <c r="J1" s="906"/>
    </row>
    <row r="2" spans="1:10" ht="18" x14ac:dyDescent="0.25">
      <c r="A2" s="906" t="s">
        <v>113</v>
      </c>
      <c r="B2" s="906"/>
      <c r="C2" s="906"/>
      <c r="D2" s="906"/>
      <c r="E2" s="906"/>
      <c r="F2" s="906"/>
      <c r="G2" s="906"/>
      <c r="H2" s="906"/>
      <c r="I2" s="906"/>
      <c r="J2" s="906"/>
    </row>
    <row r="3" spans="1:10" ht="18" x14ac:dyDescent="0.25">
      <c r="A3" s="906" t="s">
        <v>114</v>
      </c>
      <c r="B3" s="906"/>
      <c r="C3" s="906"/>
      <c r="D3" s="906"/>
      <c r="E3" s="906"/>
      <c r="F3" s="906"/>
      <c r="G3" s="906"/>
      <c r="H3" s="906"/>
      <c r="I3" s="906"/>
      <c r="J3" s="906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907" t="s">
        <v>116</v>
      </c>
      <c r="I5" s="908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909" t="s">
        <v>124</v>
      </c>
      <c r="I6" s="910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911" t="s">
        <v>129</v>
      </c>
      <c r="I7" s="912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901" t="s">
        <v>138</v>
      </c>
      <c r="B21" s="902"/>
      <c r="C21" s="903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904"/>
      <c r="J23" s="904"/>
    </row>
    <row r="24" spans="1:10" x14ac:dyDescent="0.25">
      <c r="I24" s="897"/>
      <c r="J24" s="897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905"/>
      <c r="J30" s="905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906" t="s">
        <v>112</v>
      </c>
      <c r="B1" s="906"/>
      <c r="C1" s="906"/>
      <c r="D1" s="906"/>
      <c r="E1" s="906"/>
      <c r="F1" s="906"/>
      <c r="G1" s="906"/>
      <c r="H1" s="906"/>
      <c r="I1" s="906"/>
      <c r="J1" s="906"/>
    </row>
    <row r="2" spans="1:10" ht="18" x14ac:dyDescent="0.25">
      <c r="A2" s="906" t="s">
        <v>139</v>
      </c>
      <c r="B2" s="906"/>
      <c r="C2" s="906"/>
      <c r="D2" s="906"/>
      <c r="E2" s="906"/>
      <c r="F2" s="906"/>
      <c r="G2" s="906"/>
      <c r="H2" s="906"/>
      <c r="I2" s="906"/>
      <c r="J2" s="906"/>
    </row>
    <row r="3" spans="1:10" ht="18" x14ac:dyDescent="0.25">
      <c r="A3" s="906" t="s">
        <v>114</v>
      </c>
      <c r="B3" s="906"/>
      <c r="C3" s="906"/>
      <c r="D3" s="906"/>
      <c r="E3" s="906"/>
      <c r="F3" s="906"/>
      <c r="G3" s="906"/>
      <c r="H3" s="906"/>
      <c r="I3" s="906"/>
      <c r="J3" s="906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913"/>
      <c r="B5" s="913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907" t="s">
        <v>116</v>
      </c>
      <c r="I7" s="908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909" t="s">
        <v>124</v>
      </c>
      <c r="I8" s="910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911" t="s">
        <v>129</v>
      </c>
      <c r="I9" s="912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901" t="s">
        <v>144</v>
      </c>
      <c r="B74" s="902"/>
      <c r="C74" s="903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904"/>
      <c r="J76" s="904"/>
    </row>
    <row r="77" spans="1:10" x14ac:dyDescent="0.25">
      <c r="I77" s="897"/>
      <c r="J77" s="897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905"/>
      <c r="J83" s="905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9:I9"/>
    <mergeCell ref="A74:C74"/>
    <mergeCell ref="I76:J76"/>
    <mergeCell ref="I77:J77"/>
    <mergeCell ref="I83:J83"/>
    <mergeCell ref="H8:I8"/>
    <mergeCell ref="A1:J1"/>
    <mergeCell ref="A2:J2"/>
    <mergeCell ref="A3:J3"/>
    <mergeCell ref="A5:B5"/>
    <mergeCell ref="H7:I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PEMBELIAN INVOICE</vt:lpstr>
      <vt:lpstr>REKAP REKENING KORAN</vt:lpstr>
      <vt:lpstr>REKAP PAJAK</vt:lpstr>
      <vt:lpstr>REKAP RETUR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2023-12-19T04:34:03Z</cp:lastPrinted>
  <dcterms:created xsi:type="dcterms:W3CDTF">2016-02-04T01:58:45Z</dcterms:created>
  <dcterms:modified xsi:type="dcterms:W3CDTF">2023-12-30T07:02:53Z</dcterms:modified>
</cp:coreProperties>
</file>