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SPT PPN\11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2" i="1" l="1"/>
  <c r="Q101" i="1"/>
  <c r="Q100" i="1"/>
  <c r="Q98" i="1"/>
  <c r="Q97" i="1"/>
  <c r="Q96" i="1"/>
  <c r="Q94" i="1"/>
  <c r="Q93" i="1"/>
  <c r="Q92" i="1"/>
  <c r="J84" i="1"/>
  <c r="K84" i="1"/>
  <c r="K87" i="1"/>
  <c r="J87" i="1"/>
  <c r="J282" i="1"/>
  <c r="K282" i="1"/>
  <c r="L282" i="1"/>
  <c r="J281" i="1"/>
  <c r="K281" i="1" s="1"/>
  <c r="J280" i="1"/>
  <c r="K280" i="1" s="1"/>
  <c r="L279" i="1"/>
  <c r="J279" i="1"/>
  <c r="K279" i="1" s="1"/>
  <c r="L278" i="1"/>
  <c r="J278" i="1" s="1"/>
  <c r="K278" i="1" s="1"/>
  <c r="L277" i="1"/>
  <c r="J277" i="1" s="1"/>
  <c r="K277" i="1" s="1"/>
  <c r="L276" i="1"/>
  <c r="J276" i="1"/>
  <c r="K276" i="1" s="1"/>
  <c r="L275" i="1"/>
  <c r="J275" i="1"/>
  <c r="K275" i="1" s="1"/>
  <c r="L274" i="1"/>
  <c r="J274" i="1" s="1"/>
  <c r="K274" i="1" s="1"/>
  <c r="L273" i="1"/>
  <c r="J273" i="1" s="1"/>
  <c r="K273" i="1" s="1"/>
  <c r="L272" i="1"/>
  <c r="J272" i="1"/>
  <c r="K272" i="1" s="1"/>
  <c r="L271" i="1"/>
  <c r="J271" i="1"/>
  <c r="K271" i="1" s="1"/>
  <c r="L270" i="1"/>
  <c r="J270" i="1" s="1"/>
  <c r="K270" i="1" s="1"/>
  <c r="J269" i="1"/>
  <c r="K269" i="1" s="1"/>
  <c r="L268" i="1"/>
  <c r="J268" i="1"/>
  <c r="K268" i="1" s="1"/>
  <c r="L267" i="1"/>
  <c r="J267" i="1" s="1"/>
  <c r="K267" i="1" s="1"/>
  <c r="L266" i="1"/>
  <c r="J266" i="1" s="1"/>
  <c r="K266" i="1" s="1"/>
  <c r="L265" i="1"/>
  <c r="J265" i="1"/>
  <c r="K265" i="1" s="1"/>
  <c r="J264" i="1"/>
  <c r="K264" i="1" s="1"/>
  <c r="L263" i="1"/>
  <c r="J263" i="1" s="1"/>
  <c r="K263" i="1" s="1"/>
  <c r="L262" i="1"/>
  <c r="J262" i="1"/>
  <c r="K262" i="1" s="1"/>
  <c r="J261" i="1"/>
  <c r="K261" i="1" s="1"/>
  <c r="L260" i="1"/>
  <c r="J260" i="1" s="1"/>
  <c r="K260" i="1" s="1"/>
  <c r="L259" i="1"/>
  <c r="J259" i="1"/>
  <c r="K259" i="1" s="1"/>
  <c r="L258" i="1"/>
  <c r="J258" i="1"/>
  <c r="K258" i="1" s="1"/>
  <c r="L257" i="1"/>
  <c r="J257" i="1" s="1"/>
  <c r="K257" i="1" s="1"/>
  <c r="L256" i="1"/>
  <c r="J256" i="1" s="1"/>
  <c r="K256" i="1" s="1"/>
  <c r="L255" i="1"/>
  <c r="J255" i="1"/>
  <c r="K255" i="1" s="1"/>
  <c r="L254" i="1"/>
  <c r="J254" i="1"/>
  <c r="K254" i="1" s="1"/>
  <c r="L253" i="1"/>
  <c r="J253" i="1" s="1"/>
  <c r="K253" i="1" s="1"/>
  <c r="L252" i="1"/>
  <c r="J252" i="1" s="1"/>
  <c r="K252" i="1" s="1"/>
  <c r="L251" i="1"/>
  <c r="J251" i="1"/>
  <c r="K251" i="1" s="1"/>
  <c r="L250" i="1"/>
  <c r="J250" i="1"/>
  <c r="K250" i="1" s="1"/>
  <c r="J249" i="1"/>
  <c r="K249" i="1" s="1"/>
  <c r="L248" i="1"/>
  <c r="J248" i="1"/>
  <c r="K248" i="1" s="1"/>
  <c r="L247" i="1"/>
  <c r="J247" i="1"/>
  <c r="K247" i="1" s="1"/>
  <c r="L246" i="1"/>
  <c r="J246" i="1" s="1"/>
  <c r="K246" i="1" s="1"/>
  <c r="L245" i="1"/>
  <c r="J245" i="1" s="1"/>
  <c r="K245" i="1" s="1"/>
  <c r="L244" i="1"/>
  <c r="J244" i="1"/>
  <c r="K244" i="1" s="1"/>
  <c r="L243" i="1"/>
  <c r="J243" i="1"/>
  <c r="K243" i="1" s="1"/>
  <c r="L242" i="1"/>
  <c r="J242" i="1" s="1"/>
  <c r="K242" i="1" s="1"/>
  <c r="L241" i="1"/>
  <c r="J241" i="1" s="1"/>
  <c r="K241" i="1" s="1"/>
  <c r="L240" i="1"/>
  <c r="J240" i="1"/>
  <c r="K240" i="1" s="1"/>
  <c r="L239" i="1"/>
  <c r="J239" i="1"/>
  <c r="K239" i="1" s="1"/>
  <c r="L238" i="1"/>
  <c r="J238" i="1" s="1"/>
  <c r="K238" i="1" s="1"/>
  <c r="J237" i="1"/>
  <c r="K237" i="1" s="1"/>
  <c r="L236" i="1"/>
  <c r="J236" i="1"/>
  <c r="K236" i="1" s="1"/>
  <c r="L235" i="1"/>
  <c r="J235" i="1" s="1"/>
  <c r="K235" i="1" s="1"/>
  <c r="L234" i="1"/>
  <c r="J234" i="1" s="1"/>
  <c r="K234" i="1" s="1"/>
  <c r="L233" i="1"/>
  <c r="J233" i="1"/>
  <c r="K233" i="1" s="1"/>
  <c r="J232" i="1"/>
  <c r="K232" i="1" s="1"/>
  <c r="L231" i="1"/>
  <c r="J231" i="1" s="1"/>
  <c r="K231" i="1" s="1"/>
  <c r="L230" i="1"/>
  <c r="J230" i="1"/>
  <c r="K230" i="1" s="1"/>
  <c r="K229" i="1"/>
  <c r="J229" i="1"/>
  <c r="L228" i="1"/>
  <c r="J228" i="1" s="1"/>
  <c r="K228" i="1"/>
  <c r="L227" i="1"/>
  <c r="J227" i="1"/>
  <c r="K227" i="1" s="1"/>
  <c r="L226" i="1"/>
  <c r="J226" i="1"/>
  <c r="K226" i="1" s="1"/>
  <c r="L225" i="1"/>
  <c r="J225" i="1" s="1"/>
  <c r="K225" i="1" s="1"/>
  <c r="L224" i="1"/>
  <c r="J224" i="1" s="1"/>
  <c r="K224" i="1" s="1"/>
  <c r="L223" i="1"/>
  <c r="J223" i="1"/>
  <c r="K223" i="1" s="1"/>
  <c r="L222" i="1"/>
  <c r="J222" i="1"/>
  <c r="K222" i="1" s="1"/>
  <c r="J221" i="1"/>
  <c r="K221" i="1" s="1"/>
  <c r="L220" i="1"/>
  <c r="J220" i="1"/>
  <c r="K220" i="1" s="1"/>
  <c r="L219" i="1"/>
  <c r="J219" i="1"/>
  <c r="K219" i="1" s="1"/>
  <c r="L218" i="1"/>
  <c r="J218" i="1" s="1"/>
  <c r="K218" i="1" s="1"/>
  <c r="L217" i="1"/>
  <c r="J217" i="1" s="1"/>
  <c r="K217" i="1"/>
  <c r="L216" i="1"/>
  <c r="J216" i="1"/>
  <c r="K216" i="1" s="1"/>
  <c r="K215" i="1"/>
  <c r="J215" i="1"/>
  <c r="L214" i="1"/>
  <c r="J214" i="1" s="1"/>
  <c r="K214" i="1" s="1"/>
  <c r="L213" i="1"/>
  <c r="J213" i="1"/>
  <c r="K213" i="1" s="1"/>
  <c r="L212" i="1"/>
  <c r="J212" i="1"/>
  <c r="K212" i="1" s="1"/>
  <c r="L211" i="1"/>
  <c r="J211" i="1" s="1"/>
  <c r="K211" i="1" s="1"/>
  <c r="L210" i="1"/>
  <c r="J210" i="1" s="1"/>
  <c r="K210" i="1" s="1"/>
  <c r="L209" i="1"/>
  <c r="J209" i="1"/>
  <c r="K209" i="1" s="1"/>
  <c r="L208" i="1"/>
  <c r="J208" i="1"/>
  <c r="K208" i="1" s="1"/>
  <c r="L207" i="1"/>
  <c r="J207" i="1" s="1"/>
  <c r="K207" i="1" s="1"/>
  <c r="L206" i="1"/>
  <c r="J206" i="1" s="1"/>
  <c r="K206" i="1" s="1"/>
  <c r="J205" i="1"/>
  <c r="K205" i="1" s="1"/>
  <c r="L204" i="1"/>
  <c r="J204" i="1" s="1"/>
  <c r="K204" i="1" s="1"/>
  <c r="L203" i="1"/>
  <c r="J203" i="1" s="1"/>
  <c r="K203" i="1" s="1"/>
  <c r="L202" i="1"/>
  <c r="J202" i="1"/>
  <c r="K202" i="1" s="1"/>
  <c r="L201" i="1"/>
  <c r="J201" i="1"/>
  <c r="K201" i="1" s="1"/>
  <c r="L200" i="1"/>
  <c r="J200" i="1" s="1"/>
  <c r="K200" i="1" s="1"/>
  <c r="L199" i="1"/>
  <c r="J199" i="1" s="1"/>
  <c r="K199" i="1" s="1"/>
  <c r="L198" i="1"/>
  <c r="J198" i="1"/>
  <c r="K198" i="1" s="1"/>
  <c r="L197" i="1"/>
  <c r="J197" i="1"/>
  <c r="K197" i="1" s="1"/>
  <c r="L196" i="1"/>
  <c r="J196" i="1" s="1"/>
  <c r="K196" i="1" s="1"/>
  <c r="L195" i="1"/>
  <c r="J195" i="1" s="1"/>
  <c r="K195" i="1" s="1"/>
  <c r="L194" i="1"/>
  <c r="J194" i="1"/>
  <c r="K194" i="1" s="1"/>
  <c r="L193" i="1"/>
  <c r="J193" i="1"/>
  <c r="K193" i="1" s="1"/>
  <c r="L192" i="1"/>
  <c r="J192" i="1" s="1"/>
  <c r="K192" i="1" s="1"/>
  <c r="L191" i="1"/>
  <c r="J191" i="1" s="1"/>
  <c r="K191" i="1" s="1"/>
  <c r="J190" i="1"/>
  <c r="K190" i="1" s="1"/>
  <c r="L189" i="1"/>
  <c r="J189" i="1" s="1"/>
  <c r="K189" i="1" s="1"/>
  <c r="L188" i="1"/>
  <c r="J188" i="1" s="1"/>
  <c r="K188" i="1" s="1"/>
  <c r="J187" i="1"/>
  <c r="K187" i="1" s="1"/>
  <c r="L186" i="1"/>
  <c r="J186" i="1" s="1"/>
  <c r="K186" i="1" s="1"/>
  <c r="L185" i="1"/>
  <c r="J185" i="1" s="1"/>
  <c r="K185" i="1" s="1"/>
  <c r="L184" i="1"/>
  <c r="J184" i="1"/>
  <c r="K184" i="1" s="1"/>
  <c r="L183" i="1"/>
  <c r="J183" i="1"/>
  <c r="K183" i="1" s="1"/>
  <c r="L182" i="1"/>
  <c r="J182" i="1" s="1"/>
  <c r="K182" i="1" s="1"/>
  <c r="L181" i="1"/>
  <c r="J181" i="1" s="1"/>
  <c r="K181" i="1" s="1"/>
  <c r="L180" i="1"/>
  <c r="J180" i="1"/>
  <c r="K180" i="1" s="1"/>
  <c r="L179" i="1"/>
  <c r="J179" i="1"/>
  <c r="K179" i="1" s="1"/>
  <c r="L178" i="1"/>
  <c r="J178" i="1" s="1"/>
  <c r="K178" i="1" s="1"/>
  <c r="L177" i="1"/>
  <c r="J177" i="1" s="1"/>
  <c r="K177" i="1" s="1"/>
  <c r="L176" i="1"/>
  <c r="J176" i="1"/>
  <c r="K176" i="1" s="1"/>
  <c r="L175" i="1"/>
  <c r="J175" i="1"/>
  <c r="K175" i="1" s="1"/>
  <c r="L174" i="1"/>
  <c r="J174" i="1" s="1"/>
  <c r="K174" i="1" s="1"/>
  <c r="L173" i="1"/>
  <c r="J173" i="1" s="1"/>
  <c r="K173" i="1" s="1"/>
  <c r="L172" i="1"/>
  <c r="J172" i="1"/>
  <c r="K172" i="1" s="1"/>
  <c r="L171" i="1"/>
  <c r="J171" i="1"/>
  <c r="K171" i="1" s="1"/>
  <c r="K170" i="1"/>
  <c r="J170" i="1"/>
  <c r="L169" i="1"/>
  <c r="J169" i="1"/>
  <c r="K169" i="1" s="1"/>
  <c r="L168" i="1"/>
  <c r="J168" i="1"/>
  <c r="K168" i="1" s="1"/>
  <c r="L167" i="1"/>
  <c r="J167" i="1" s="1"/>
  <c r="K167" i="1" s="1"/>
  <c r="L166" i="1"/>
  <c r="J166" i="1" s="1"/>
  <c r="K166" i="1"/>
  <c r="L165" i="1"/>
  <c r="J165" i="1"/>
  <c r="K165" i="1" s="1"/>
  <c r="L164" i="1"/>
  <c r="J164" i="1"/>
  <c r="K164" i="1" s="1"/>
  <c r="L163" i="1"/>
  <c r="J163" i="1" s="1"/>
  <c r="K163" i="1" s="1"/>
  <c r="L162" i="1"/>
  <c r="J162" i="1" s="1"/>
  <c r="K162" i="1"/>
  <c r="J161" i="1"/>
  <c r="K161" i="1" s="1"/>
  <c r="L160" i="1"/>
  <c r="J160" i="1" s="1"/>
  <c r="K160" i="1" s="1"/>
  <c r="L159" i="1"/>
  <c r="J159" i="1" s="1"/>
  <c r="K159" i="1"/>
  <c r="L158" i="1"/>
  <c r="J158" i="1"/>
  <c r="K158" i="1" s="1"/>
  <c r="L157" i="1"/>
  <c r="J157" i="1"/>
  <c r="K157" i="1" s="1"/>
  <c r="L156" i="1"/>
  <c r="J156" i="1" s="1"/>
  <c r="K156" i="1" s="1"/>
  <c r="L155" i="1"/>
  <c r="J155" i="1" s="1"/>
  <c r="K155" i="1" s="1"/>
  <c r="L154" i="1"/>
  <c r="J154" i="1"/>
  <c r="K154" i="1" s="1"/>
  <c r="L153" i="1"/>
  <c r="J153" i="1"/>
  <c r="K153" i="1" s="1"/>
  <c r="L152" i="1"/>
  <c r="J152" i="1" s="1"/>
  <c r="K152" i="1" s="1"/>
  <c r="L151" i="1"/>
  <c r="J151" i="1" s="1"/>
  <c r="K151" i="1" s="1"/>
  <c r="J150" i="1"/>
  <c r="K150" i="1" s="1"/>
  <c r="L149" i="1"/>
  <c r="J149" i="1" s="1"/>
  <c r="K149" i="1" s="1"/>
  <c r="L148" i="1"/>
  <c r="J148" i="1" s="1"/>
  <c r="K148" i="1" s="1"/>
  <c r="J147" i="1"/>
  <c r="K147" i="1" s="1"/>
  <c r="L146" i="1"/>
  <c r="J146" i="1" s="1"/>
  <c r="K146" i="1" s="1"/>
  <c r="L145" i="1"/>
  <c r="J145" i="1" s="1"/>
  <c r="K145" i="1" s="1"/>
  <c r="J144" i="1"/>
  <c r="K144" i="1" s="1"/>
  <c r="J143" i="1"/>
  <c r="K143" i="1" s="1"/>
  <c r="L142" i="1"/>
  <c r="J142" i="1"/>
  <c r="K142" i="1" s="1"/>
  <c r="L141" i="1"/>
  <c r="J141" i="1"/>
  <c r="K141" i="1" s="1"/>
  <c r="J140" i="1"/>
  <c r="K140" i="1" s="1"/>
  <c r="L139" i="1"/>
  <c r="K139" i="1"/>
  <c r="J139" i="1"/>
  <c r="L138" i="1"/>
  <c r="J138" i="1"/>
  <c r="K138" i="1" s="1"/>
  <c r="L137" i="1"/>
  <c r="J137" i="1" s="1"/>
  <c r="K137" i="1" s="1"/>
  <c r="L136" i="1"/>
  <c r="J136" i="1" s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K128" i="1"/>
  <c r="J128" i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K120" i="1"/>
  <c r="J120" i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K112" i="1"/>
  <c r="J112" i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K102" i="1"/>
  <c r="J102" i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88" i="1" l="1"/>
  <c r="K88" i="1"/>
  <c r="K89" i="1" l="1"/>
  <c r="J89" i="1" l="1"/>
</calcChain>
</file>

<file path=xl/sharedStrings.xml><?xml version="1.0" encoding="utf-8"?>
<sst xmlns="http://schemas.openxmlformats.org/spreadsheetml/2006/main" count="1770" uniqueCount="839">
  <si>
    <t>BELI</t>
  </si>
  <si>
    <t>DPP</t>
  </si>
  <si>
    <t>PPN</t>
  </si>
  <si>
    <t>JUAL</t>
  </si>
  <si>
    <t>TOTAL</t>
  </si>
  <si>
    <t xml:space="preserve">PENJUALAN </t>
  </si>
  <si>
    <t>PENJUALAN FAKTUR</t>
  </si>
  <si>
    <t>PENJUALAN DI GUNGGUNG</t>
  </si>
  <si>
    <t>03.262.318.3-047.000</t>
  </si>
  <si>
    <t>PT KALINDO SUKSES</t>
  </si>
  <si>
    <t>010.011-23.14828188</t>
  </si>
  <si>
    <t>Tue Oct 03 00:00:00 WIB 2023</t>
  </si>
  <si>
    <t>Normal</t>
  </si>
  <si>
    <t>Approval Sukses</t>
  </si>
  <si>
    <t>Mon Dec 18 09:03:52 WIB 2023</t>
  </si>
  <si>
    <t>SUDIARTO</t>
  </si>
  <si>
    <t>Wed Dec 13 11:03:48 WIB 2023</t>
  </si>
  <si>
    <t>010.011-23.14828189</t>
  </si>
  <si>
    <t>Wed Dec 13 11:04:48 WIB 2023</t>
  </si>
  <si>
    <t>01.773.514.3-047.000</t>
  </si>
  <si>
    <t>PT SEMBILAN-SEMBILAN JAYA UTAMA</t>
  </si>
  <si>
    <t>010.010-23.69482892</t>
  </si>
  <si>
    <t>Mon Nov 13 00:00:00 WIB 2023</t>
  </si>
  <si>
    <t>Wed Dec 13 11:36:26 WIB 2023</t>
  </si>
  <si>
    <t>010.010-23.69483138</t>
  </si>
  <si>
    <t>Mon Nov 27 00:00:00 WIB 2023</t>
  </si>
  <si>
    <t>Wed Dec 13 11:37:19 WIB 2023</t>
  </si>
  <si>
    <t>03.281.005.3-041.000</t>
  </si>
  <si>
    <t>PT RAPINAN BROTHER</t>
  </si>
  <si>
    <t>010.010-23.77510390</t>
  </si>
  <si>
    <t>Wed Nov 01 00:00:00 WIB 2023</t>
  </si>
  <si>
    <t>Wed Dec 13 11:39:01 WIB 2023</t>
  </si>
  <si>
    <t>010.012-23.42200834</t>
  </si>
  <si>
    <t>Wed Nov 15 00:00:00 WIB 2023</t>
  </si>
  <si>
    <t>Wed Dec 13 11:40:12 WIB 2023</t>
  </si>
  <si>
    <t>010.012-23.42200835</t>
  </si>
  <si>
    <t>Mon Dec 18 09:03:53 WIB 2023</t>
  </si>
  <si>
    <t>Wed Dec 13 11:42:34 WIB 2023</t>
  </si>
  <si>
    <t>010.012-23.42200849</t>
  </si>
  <si>
    <t>Wed Nov 29 00:00:00 WIB 2023</t>
  </si>
  <si>
    <t>Wed Dec 13 11:43:52 WIB 2023</t>
  </si>
  <si>
    <t>07.181.449.5-619.000</t>
  </si>
  <si>
    <t>LIE ARMAND</t>
  </si>
  <si>
    <t>010.012-23.00878909</t>
  </si>
  <si>
    <t>Fri Nov 03 00:00:00 WIB 2023</t>
  </si>
  <si>
    <t>Wed Dec 13 11:45:01 WIB 2023</t>
  </si>
  <si>
    <t>010.012-23.00878914</t>
  </si>
  <si>
    <t>Tue Nov 07 00:00:00 WIB 2023</t>
  </si>
  <si>
    <t>Wed Dec 13 11:45:58 WIB 2023</t>
  </si>
  <si>
    <t>010.012-23.00878917</t>
  </si>
  <si>
    <t>Fri Nov 10 00:00:00 WIB 2023</t>
  </si>
  <si>
    <t>Wed Dec 13 11:46:54 WIB 2023</t>
  </si>
  <si>
    <t>010.012-23.00878927</t>
  </si>
  <si>
    <t>Wed Dec 13 11:47:46 WIB 2023</t>
  </si>
  <si>
    <t>80.146.833.1-047.000</t>
  </si>
  <si>
    <t>PT KENKO SINAR INDONESIA</t>
  </si>
  <si>
    <t>010.002-23.26064360</t>
  </si>
  <si>
    <t>Mon Dec 18 09:03:54 WIB 2023</t>
  </si>
  <si>
    <t>Wed Dec 13 11:50:28 WIB 2023</t>
  </si>
  <si>
    <t>010.002-23.26064363</t>
  </si>
  <si>
    <t>Wed Dec 13 11:52:19 WIB 2023</t>
  </si>
  <si>
    <t>010.002-23.26064417</t>
  </si>
  <si>
    <t>Wed Dec 13 11:53:40 WIB 2023</t>
  </si>
  <si>
    <t>010.002-23.26064562</t>
  </si>
  <si>
    <t>Wed Dec 13 11:54:36 WIB 2023</t>
  </si>
  <si>
    <t>010.002-23.26064568</t>
  </si>
  <si>
    <t>Wed Dec 13 11:55:50 WIB 2023</t>
  </si>
  <si>
    <t>010.002-23.26064578</t>
  </si>
  <si>
    <t>Wed Dec 13 11:56:39 WIB 2023</t>
  </si>
  <si>
    <t>010.002-23.26064743</t>
  </si>
  <si>
    <t>Thu Nov 02 00:00:00 WIB 2023</t>
  </si>
  <si>
    <t>Mon Dec 18 09:03:55 WIB 2023</t>
  </si>
  <si>
    <t>Wed Dec 13 11:57:44 WIB 2023</t>
  </si>
  <si>
    <t>010.002-23.26064816</t>
  </si>
  <si>
    <t>Wed Dec 13 13:52:37 WIB 2023</t>
  </si>
  <si>
    <t>010.002-23.26064933</t>
  </si>
  <si>
    <t>Sat Nov 04 00:00:00 WIB 2023</t>
  </si>
  <si>
    <t>Wed Dec 13 13:53:33 WIB 2023</t>
  </si>
  <si>
    <t>010.002-23.26065053</t>
  </si>
  <si>
    <t>Mon Nov 06 00:00:00 WIB 2023</t>
  </si>
  <si>
    <t>Wed Dec 13 13:54:27 WIB 2023</t>
  </si>
  <si>
    <t>010.002-23.26065088</t>
  </si>
  <si>
    <t>Wed Dec 13 13:55:23 WIB 2023</t>
  </si>
  <si>
    <t>010.002-23.26065096</t>
  </si>
  <si>
    <t>Wed Dec 13 13:56:12 WIB 2023</t>
  </si>
  <si>
    <t>010.002-23.26065246</t>
  </si>
  <si>
    <t>Wed Nov 08 00:00:00 WIB 2023</t>
  </si>
  <si>
    <t>Wed Dec 13 13:57:03 WIB 2023</t>
  </si>
  <si>
    <t>010.002-23.26065364</t>
  </si>
  <si>
    <t>Thu Nov 09 00:00:00 WIB 2023</t>
  </si>
  <si>
    <t>Wed Dec 13 13:57:55 WIB 2023</t>
  </si>
  <si>
    <t>010.002-23.26065487</t>
  </si>
  <si>
    <t>Mon Dec 18 09:03:56 WIB 2023</t>
  </si>
  <si>
    <t>Wed Dec 13 13:58:59 WIB 2023</t>
  </si>
  <si>
    <t>010.002-23.26065488</t>
  </si>
  <si>
    <t>Wed Dec 13 13:59:43 WIB 2023</t>
  </si>
  <si>
    <t>010.002-23.26065515</t>
  </si>
  <si>
    <t>Wed Dec 13 14:00:32 WIB 2023</t>
  </si>
  <si>
    <t>010.002-23.26065604</t>
  </si>
  <si>
    <t>Sat Nov 11 00:00:00 WIB 2023</t>
  </si>
  <si>
    <t>Wed Dec 13 14:01:25 WIB 2023</t>
  </si>
  <si>
    <t>010.002-23.26065701</t>
  </si>
  <si>
    <t>Wed Dec 13 14:02:05 WIB 2023</t>
  </si>
  <si>
    <t>010.002-23.26065749</t>
  </si>
  <si>
    <t>Tue Nov 14 00:00:00 WIB 2023</t>
  </si>
  <si>
    <t>Wed Dec 13 14:02:48 WIB 2023</t>
  </si>
  <si>
    <t>010.002-23.26065867</t>
  </si>
  <si>
    <t>Wed Dec 13 14:03:31 WIB 2023</t>
  </si>
  <si>
    <t>010.002-23.26065926</t>
  </si>
  <si>
    <t>Thu Nov 16 00:00:00 WIB 2023</t>
  </si>
  <si>
    <t>Mon Dec 18 09:03:57 WIB 2023</t>
  </si>
  <si>
    <t>Wed Dec 13 14:04:31 WIB 2023</t>
  </si>
  <si>
    <t>010.002-23.26066011</t>
  </si>
  <si>
    <t>Fri Nov 17 00:00:00 WIB 2023</t>
  </si>
  <si>
    <t>Wed Dec 13 14:05:16 WIB 2023</t>
  </si>
  <si>
    <t>010.002-23.26066160</t>
  </si>
  <si>
    <t>Mon Nov 20 00:00:00 WIB 2023</t>
  </si>
  <si>
    <t>Wed Dec 13 14:05:56 WIB 2023</t>
  </si>
  <si>
    <t>010.002-23.26066184</t>
  </si>
  <si>
    <t>Tue Nov 21 00:00:00 WIB 2023</t>
  </si>
  <si>
    <t>Wed Dec 13 14:06:36 WIB 2023</t>
  </si>
  <si>
    <t>010.002-23.26066278</t>
  </si>
  <si>
    <t>Wed Nov 22 00:00:00 WIB 2023</t>
  </si>
  <si>
    <t>Wed Dec 13 14:07:14 WIB 2023</t>
  </si>
  <si>
    <t>010.002-23.26066298</t>
  </si>
  <si>
    <t>Wed Dec 13 14:07:55 WIB 2023</t>
  </si>
  <si>
    <t>010.002-23.26066394</t>
  </si>
  <si>
    <t>Thu Nov 23 00:00:00 WIB 2023</t>
  </si>
  <si>
    <t>Wed Dec 13 14:08:39 WIB 2023</t>
  </si>
  <si>
    <t>010.002-23.26066460</t>
  </si>
  <si>
    <t>Fri Nov 24 00:00:00 WIB 2023</t>
  </si>
  <si>
    <t>Mon Dec 18 09:03:58 WIB 2023</t>
  </si>
  <si>
    <t>Wed Dec 13 14:09:31 WIB 2023</t>
  </si>
  <si>
    <t>010.002-23.26066489</t>
  </si>
  <si>
    <t>Wed Dec 13 14:10:12 WIB 2023</t>
  </si>
  <si>
    <t>010.002-23.26066564</t>
  </si>
  <si>
    <t>Sat Nov 25 00:00:00 WIB 2023</t>
  </si>
  <si>
    <t>Wed Dec 13 14:10:57 WIB 2023</t>
  </si>
  <si>
    <t>010.002-23.26066671</t>
  </si>
  <si>
    <t>Wed Dec 13 14:11:47 WIB 2023</t>
  </si>
  <si>
    <t>010.002-23.26066672</t>
  </si>
  <si>
    <t>Wed Dec 13 14:12:43 WIB 2023</t>
  </si>
  <si>
    <t>010.002-23.26066682</t>
  </si>
  <si>
    <t>Wed Dec 13 14:13:32 WIB 2023</t>
  </si>
  <si>
    <t>010.002-23.26066804</t>
  </si>
  <si>
    <t>Tue Nov 28 00:00:00 WIB 2023</t>
  </si>
  <si>
    <t>Wed Dec 13 14:14:15 WIB 2023</t>
  </si>
  <si>
    <t>010.011-23.14829037</t>
  </si>
  <si>
    <t>Thu Nov 30 00:00:00 WIB 2023</t>
  </si>
  <si>
    <t>Sat Dec 16 11:34:05 WIB 2023</t>
  </si>
  <si>
    <t>31.340.482.4-037.000</t>
  </si>
  <si>
    <t>PT MITRA GLOBAL NIAGA</t>
  </si>
  <si>
    <t>010.010-23.33242147</t>
  </si>
  <si>
    <t>Mon Dec 18 09:03:59 WIB 2023</t>
  </si>
  <si>
    <t>Sat Dec 16 11:34:59 WIB 2023</t>
  </si>
  <si>
    <t>03.040.614.4-047.000</t>
  </si>
  <si>
    <t>PT ATALI MAKMUR</t>
  </si>
  <si>
    <t>010.010-23.71233535</t>
  </si>
  <si>
    <t>Sat Dec 16 13:05:35 WIB 2023</t>
  </si>
  <si>
    <t>010.010-23.71233575</t>
  </si>
  <si>
    <t>Sat Dec 16 13:09:37 WIB 2023</t>
  </si>
  <si>
    <t>010.010-23.71233756</t>
  </si>
  <si>
    <t>Sat Dec 16 13:10:18 WIB 2023</t>
  </si>
  <si>
    <t>010.010-23.71234033</t>
  </si>
  <si>
    <t>Sat Dec 16 13:10:55 WIB 2023</t>
  </si>
  <si>
    <t>010.010-23.71234597</t>
  </si>
  <si>
    <t>Sat Dec 16 13:11:47 WIB 2023</t>
  </si>
  <si>
    <t>010.010-23.71234816</t>
  </si>
  <si>
    <t>Sat Dec 16 13:12:27 WIB 2023</t>
  </si>
  <si>
    <t>010.010-23.71235054</t>
  </si>
  <si>
    <t>Sat Dec 16 13:13:19 WIB 2023</t>
  </si>
  <si>
    <t>010.010-23.71235346</t>
  </si>
  <si>
    <t>Mon Dec 18 09:04:00 WIB 2023</t>
  </si>
  <si>
    <t>Sat Dec 16 13:13:59 WIB 2023</t>
  </si>
  <si>
    <t>010.010-23.71235603</t>
  </si>
  <si>
    <t>Sat Dec 16 13:14:46 WIB 2023</t>
  </si>
  <si>
    <t>010.010-23.71235604</t>
  </si>
  <si>
    <t>Sat Dec 16 13:15:34 WIB 2023</t>
  </si>
  <si>
    <t>010.010-23.71235605</t>
  </si>
  <si>
    <t>Sat Dec 16 13:16:30 WIB 2023</t>
  </si>
  <si>
    <t>010.010-23.71236038</t>
  </si>
  <si>
    <t>Sat Dec 16 13:17:17 WIB 2023</t>
  </si>
  <si>
    <t>010.010-23.71236063</t>
  </si>
  <si>
    <t>Sat Dec 16 13:18:03 WIB 2023</t>
  </si>
  <si>
    <t>010.010-23.71236064</t>
  </si>
  <si>
    <t>Sat Dec 16 13:19:13 WIB 2023</t>
  </si>
  <si>
    <t>010.010-23.71236065</t>
  </si>
  <si>
    <t>Mon Dec 18 09:04:01 WIB 2023</t>
  </si>
  <si>
    <t>Sat Dec 16 13:20:06 WIB 2023</t>
  </si>
  <si>
    <t>010.010-23.71234291</t>
  </si>
  <si>
    <t>Sat Dec 16 13:21:43 WIB 2023</t>
  </si>
  <si>
    <t>010.010-23.71236568</t>
  </si>
  <si>
    <t>Sat Dec 16 13:26:39 WIB 2023</t>
  </si>
  <si>
    <t>010.010-23.71236576</t>
  </si>
  <si>
    <t>Sat Dec 16 13:27:46 WIB 2023</t>
  </si>
  <si>
    <t>010.010-23.71236577</t>
  </si>
  <si>
    <t>Sat Dec 16 13:28:46 WIB 2023</t>
  </si>
  <si>
    <t>010.010-23.71236582</t>
  </si>
  <si>
    <t>Sat Dec 16 13:29:34 WIB 2023</t>
  </si>
  <si>
    <t>010.012-23.64968114</t>
  </si>
  <si>
    <t>Sat Dec 16 13:30:28 WIB 2023</t>
  </si>
  <si>
    <t>010.012-23.64968359</t>
  </si>
  <si>
    <t>Sat Dec 16 13:31:27 WIB 2023</t>
  </si>
  <si>
    <t>010.012-23.64968792</t>
  </si>
  <si>
    <t>Mon Dec 18 09:04:03 WIB 2023</t>
  </si>
  <si>
    <t>Sat Dec 16 13:32:14 WIB 2023</t>
  </si>
  <si>
    <t>010.012-23.64968829</t>
  </si>
  <si>
    <t>Mon Dec 18 09:04:02 WIB 2023</t>
  </si>
  <si>
    <t>Sat Dec 16 13:32:56 WIB 2023</t>
  </si>
  <si>
    <t>010.012-23.64968842</t>
  </si>
  <si>
    <t>Sat Dec 16 13:33:50 WIB 2023</t>
  </si>
  <si>
    <t>010.012-23.64969060</t>
  </si>
  <si>
    <t>Sat Dec 16 13:34:34 WIB 2023</t>
  </si>
  <si>
    <t>010.012-23.64969261</t>
  </si>
  <si>
    <t>Sat Dec 16 13:35:16 WIB 2023</t>
  </si>
  <si>
    <t>010.012-23.64969283</t>
  </si>
  <si>
    <t>Sat Dec 16 13:35:55 WIB 2023</t>
  </si>
  <si>
    <t>010.012-23.64969448</t>
  </si>
  <si>
    <t>Sat Dec 16 13:36:31 WIB 2023</t>
  </si>
  <si>
    <t>010.012-23.64969634</t>
  </si>
  <si>
    <t>Sat Dec 16 13:37:14 WIB 2023</t>
  </si>
  <si>
    <t>010.012-23.64969825</t>
  </si>
  <si>
    <t>Sat Dec 16 13:37:59 WIB 2023</t>
  </si>
  <si>
    <t>010.012-23.64970185</t>
  </si>
  <si>
    <t>Sat Dec 16 13:38:41 WIB 2023</t>
  </si>
  <si>
    <t>AM 23110001</t>
  </si>
  <si>
    <t>KO 4680</t>
  </si>
  <si>
    <t>82.982.280.8-521.000</t>
  </si>
  <si>
    <t>CV TRINITY CENTRAAL</t>
  </si>
  <si>
    <t>PURWOKERTO</t>
  </si>
  <si>
    <t>010.010-23.05829960</t>
  </si>
  <si>
    <t>AM 23110002</t>
  </si>
  <si>
    <t>KO 4682</t>
  </si>
  <si>
    <t>01.706.181.3-521.000</t>
  </si>
  <si>
    <t>CV PELITA JAYA  ( TOKO ANUGERAH SEJAHTERA )</t>
  </si>
  <si>
    <t>010.010-23.05829961</t>
  </si>
  <si>
    <t>AM 23110003</t>
  </si>
  <si>
    <t>KO 4686</t>
  </si>
  <si>
    <t>010.010-23.05829962</t>
  </si>
  <si>
    <t>AM 23110004</t>
  </si>
  <si>
    <t>G 4689</t>
  </si>
  <si>
    <t>04.021.035.3-602.000</t>
  </si>
  <si>
    <t>LILY JULIAWATI  ( TOKO REJO AGUNG )</t>
  </si>
  <si>
    <t>JOMBANG</t>
  </si>
  <si>
    <t>010.010-23.05829963</t>
  </si>
  <si>
    <t>AM 23110005</t>
  </si>
  <si>
    <t>KO 4693</t>
  </si>
  <si>
    <t>01.454.876.2-533.000</t>
  </si>
  <si>
    <t>CV GANESHA</t>
  </si>
  <si>
    <t>WONOSOBO</t>
  </si>
  <si>
    <t>010.010-23.05829964</t>
  </si>
  <si>
    <t>AM 23110006</t>
  </si>
  <si>
    <t>KO 4694</t>
  </si>
  <si>
    <t>010.010-23.05829965</t>
  </si>
  <si>
    <t>AM 23110007</t>
  </si>
  <si>
    <t>KO 4758</t>
  </si>
  <si>
    <t>010.010-23.05829966</t>
  </si>
  <si>
    <t>AM 23110008</t>
  </si>
  <si>
    <t>G 4755</t>
  </si>
  <si>
    <t>010.012-23.31627098</t>
  </si>
  <si>
    <t>AM 23110009</t>
  </si>
  <si>
    <t>G 4763</t>
  </si>
  <si>
    <t>010.012-23.31627099</t>
  </si>
  <si>
    <t>AM 23110010</t>
  </si>
  <si>
    <t>KO 4764</t>
  </si>
  <si>
    <t>010.012-23.31627100</t>
  </si>
  <si>
    <t>AM 23110011</t>
  </si>
  <si>
    <t>KO 4527</t>
  </si>
  <si>
    <t>84.906.697.2-623.000</t>
  </si>
  <si>
    <t>CV LANCAR JAYA SENTOSA</t>
  </si>
  <si>
    <t>MALANG</t>
  </si>
  <si>
    <t>010.012-23.31627101</t>
  </si>
  <si>
    <t>AM 23110012</t>
  </si>
  <si>
    <t>KO 4757</t>
  </si>
  <si>
    <t>08.887.807.9-521.000</t>
  </si>
  <si>
    <t>SANTOSO BUDIONO ( TOKO ARMADA )</t>
  </si>
  <si>
    <t>010.012-23.31627102</t>
  </si>
  <si>
    <t>AM 23110013</t>
  </si>
  <si>
    <t>KO 4815</t>
  </si>
  <si>
    <t>04.017.931.9-502.000</t>
  </si>
  <si>
    <t>HARNOYO ( TOKO BENDAN)</t>
  </si>
  <si>
    <t>PEKALONGAN</t>
  </si>
  <si>
    <t>010.012-23.31627103</t>
  </si>
  <si>
    <t>AM 23110014</t>
  </si>
  <si>
    <t>A 4817</t>
  </si>
  <si>
    <t>83.694.842.2-523.000</t>
  </si>
  <si>
    <t>CV FM. 90 (FAMILY / RENI JATIMULYO)</t>
  </si>
  <si>
    <t>KEBUMEN</t>
  </si>
  <si>
    <t>010.012-23.31627104</t>
  </si>
  <si>
    <t>AM 23110015</t>
  </si>
  <si>
    <t>A 4818</t>
  </si>
  <si>
    <t>03.338.317.5-526.000</t>
  </si>
  <si>
    <t>CV TIARA</t>
  </si>
  <si>
    <t>SOLO</t>
  </si>
  <si>
    <t>010.012-23.31627105</t>
  </si>
  <si>
    <t>AM 23110016</t>
  </si>
  <si>
    <t>KO 4534</t>
  </si>
  <si>
    <t>91.900.788.0-657.000</t>
  </si>
  <si>
    <t>CV MORNING STAR NUSANTARA (TOKO PELANGI)</t>
  </si>
  <si>
    <t>010.012-23.31627106</t>
  </si>
  <si>
    <t>AM 23110017</t>
  </si>
  <si>
    <t>G 4814</t>
  </si>
  <si>
    <t>010.012-23.31627107</t>
  </si>
  <si>
    <t>AM 23110018</t>
  </si>
  <si>
    <t>KO 4538</t>
  </si>
  <si>
    <t>010.012-23.31627108</t>
  </si>
  <si>
    <t>AM 23110019</t>
  </si>
  <si>
    <t>G 4831</t>
  </si>
  <si>
    <t>91.924.273.5-629.000</t>
  </si>
  <si>
    <t>CV UTAMA PUTRA</t>
  </si>
  <si>
    <t>TULUNGAGUNG</t>
  </si>
  <si>
    <t>010.012-23.31627109</t>
  </si>
  <si>
    <t>AM 23110020</t>
  </si>
  <si>
    <t>A 4833</t>
  </si>
  <si>
    <t>010.012-23.31627110</t>
  </si>
  <si>
    <t>AM 23110021</t>
  </si>
  <si>
    <t>G 4907</t>
  </si>
  <si>
    <t>010.012-23.31627111</t>
  </si>
  <si>
    <t>AM 23110022</t>
  </si>
  <si>
    <t>KO 4902</t>
  </si>
  <si>
    <t>02.683.580.1-542.000</t>
  </si>
  <si>
    <t>CV DWI JAYA</t>
  </si>
  <si>
    <t>YOGYAKARTA</t>
  </si>
  <si>
    <t>010.012-23.31627112</t>
  </si>
  <si>
    <t>AM 23110023</t>
  </si>
  <si>
    <t>G 4775</t>
  </si>
  <si>
    <t>010.012-23.31627113</t>
  </si>
  <si>
    <t>AM 23110024</t>
  </si>
  <si>
    <t>G 4774</t>
  </si>
  <si>
    <t>010.012-23.31627114</t>
  </si>
  <si>
    <t>AM 23110025</t>
  </si>
  <si>
    <t>G 4842</t>
  </si>
  <si>
    <t>010.012-23.31627115</t>
  </si>
  <si>
    <t>AM 23110026</t>
  </si>
  <si>
    <t>KO 4911</t>
  </si>
  <si>
    <t>010.012-23.31627116</t>
  </si>
  <si>
    <t>AM 23110027</t>
  </si>
  <si>
    <t>A 1495</t>
  </si>
  <si>
    <t>74.951.455.0-515.000</t>
  </si>
  <si>
    <t>CV MULIA JAYA ( RAHAYU SWALAYAN )</t>
  </si>
  <si>
    <t>MRANGGEN</t>
  </si>
  <si>
    <t>010.012-23.31627117</t>
  </si>
  <si>
    <t>AM 23110028</t>
  </si>
  <si>
    <t>KO 4919</t>
  </si>
  <si>
    <t>42.884.805.5-501.000</t>
  </si>
  <si>
    <t>CV SINAR CAHAYA NIRMALA</t>
  </si>
  <si>
    <t>BREBES</t>
  </si>
  <si>
    <t>010.012-23.31627118</t>
  </si>
  <si>
    <t>AM 23110029</t>
  </si>
  <si>
    <t>KO 4548</t>
  </si>
  <si>
    <t>010.012-23.31627119</t>
  </si>
  <si>
    <t>AM 23110030</t>
  </si>
  <si>
    <t>KO 4928</t>
  </si>
  <si>
    <t>010.012-23.31627120</t>
  </si>
  <si>
    <t>AM 23110031</t>
  </si>
  <si>
    <t>G 4924</t>
  </si>
  <si>
    <t>010.012-23.31627121</t>
  </si>
  <si>
    <t>AM 23110032</t>
  </si>
  <si>
    <t>KO 4935</t>
  </si>
  <si>
    <t>010.012-23.31627122</t>
  </si>
  <si>
    <t>AM 23110033</t>
  </si>
  <si>
    <t>KO 4937</t>
  </si>
  <si>
    <t>010.012-23.31627123</t>
  </si>
  <si>
    <t>AM 23110034</t>
  </si>
  <si>
    <t>KO 4876</t>
  </si>
  <si>
    <t>010.012-23.31627124</t>
  </si>
  <si>
    <t>AM 23110035</t>
  </si>
  <si>
    <t>A 4949</t>
  </si>
  <si>
    <t>010.012-23.31627125</t>
  </si>
  <si>
    <t>AM 23110036</t>
  </si>
  <si>
    <t>KO 0505</t>
  </si>
  <si>
    <t>010.012-23.31627126</t>
  </si>
  <si>
    <t>AM 23110037</t>
  </si>
  <si>
    <t>KO 4816</t>
  </si>
  <si>
    <t>010.012-23.31627127</t>
  </si>
  <si>
    <t>AM 23110038</t>
  </si>
  <si>
    <t>G 0506</t>
  </si>
  <si>
    <t>010.012-23.31627128</t>
  </si>
  <si>
    <t>AM 23110039</t>
  </si>
  <si>
    <t>KO 0511</t>
  </si>
  <si>
    <t>010.012-23.31627129</t>
  </si>
  <si>
    <t>AM 23110040</t>
  </si>
  <si>
    <t>KO 0528</t>
  </si>
  <si>
    <t>010.012-23.31627130</t>
  </si>
  <si>
    <t>AM 23110041</t>
  </si>
  <si>
    <t>KO 0529</t>
  </si>
  <si>
    <t>01.848.507.8-521.000</t>
  </si>
  <si>
    <t>CV  WISUDA</t>
  </si>
  <si>
    <t>010.012-23.31627131</t>
  </si>
  <si>
    <t>AM 23110042</t>
  </si>
  <si>
    <t>KO 0530</t>
  </si>
  <si>
    <t>010.012-23.31627132</t>
  </si>
  <si>
    <t>AM 23110043</t>
  </si>
  <si>
    <t>G 0523</t>
  </si>
  <si>
    <t>010.012-23.31627133</t>
  </si>
  <si>
    <t>AM 23110059</t>
  </si>
  <si>
    <t>G 4690</t>
  </si>
  <si>
    <t>011.012-23.31627134</t>
  </si>
  <si>
    <t>AM 23110044</t>
  </si>
  <si>
    <t>KO 4675 4732 4759</t>
  </si>
  <si>
    <t>SISWA</t>
  </si>
  <si>
    <t>MUNTILAN</t>
  </si>
  <si>
    <t>AM 23110045</t>
  </si>
  <si>
    <t>KO 4676 4727 4760</t>
  </si>
  <si>
    <t>EKARIA</t>
  </si>
  <si>
    <t>AM 23110046</t>
  </si>
  <si>
    <t>G 4712 4752 4916</t>
  </si>
  <si>
    <t>SASA</t>
  </si>
  <si>
    <t>BOJONEGORO</t>
  </si>
  <si>
    <t>AM 23110047</t>
  </si>
  <si>
    <t>A 4714 0533</t>
  </si>
  <si>
    <t>DUTA ILAHI</t>
  </si>
  <si>
    <t>LASEM</t>
  </si>
  <si>
    <t>AM 23110048</t>
  </si>
  <si>
    <t>G 4715 4942</t>
  </si>
  <si>
    <t>INDRASARI</t>
  </si>
  <si>
    <t>AM 23110049</t>
  </si>
  <si>
    <t>G 4716 4717 4756</t>
  </si>
  <si>
    <t>NABILA</t>
  </si>
  <si>
    <t>TUBAN</t>
  </si>
  <si>
    <t>AM 23110050</t>
  </si>
  <si>
    <t>A 4718</t>
  </si>
  <si>
    <t>BATA</t>
  </si>
  <si>
    <t>KUDUS</t>
  </si>
  <si>
    <t>AM 23110051</t>
  </si>
  <si>
    <t>A 4719</t>
  </si>
  <si>
    <t>RAHARJO</t>
  </si>
  <si>
    <t>MAGELANG</t>
  </si>
  <si>
    <t>AM 23110052</t>
  </si>
  <si>
    <t>G 4720</t>
  </si>
  <si>
    <t>LARIS BARU</t>
  </si>
  <si>
    <t>AM 23110053</t>
  </si>
  <si>
    <t>KO 4681 4901 0513</t>
  </si>
  <si>
    <t>INDOFOTOCOPY</t>
  </si>
  <si>
    <t>PARAKAN</t>
  </si>
  <si>
    <t>AM 23110054</t>
  </si>
  <si>
    <t>A 4683 4805</t>
  </si>
  <si>
    <t>MELATI</t>
  </si>
  <si>
    <t>AM 23110055</t>
  </si>
  <si>
    <t>A 4684</t>
  </si>
  <si>
    <t>ABC / TOP</t>
  </si>
  <si>
    <t>AM 23110056</t>
  </si>
  <si>
    <t>KO 4685 4772 0517</t>
  </si>
  <si>
    <t>TELADAN</t>
  </si>
  <si>
    <t>TEGAL</t>
  </si>
  <si>
    <t>AM 23110057</t>
  </si>
  <si>
    <t>A 4687</t>
  </si>
  <si>
    <t>PRIMA</t>
  </si>
  <si>
    <t>AM 23110058</t>
  </si>
  <si>
    <t>A 4688 4753 4906</t>
  </si>
  <si>
    <t>INDOGLOBAL</t>
  </si>
  <si>
    <t>PATI</t>
  </si>
  <si>
    <t>AM 23110060</t>
  </si>
  <si>
    <t>KO 4691</t>
  </si>
  <si>
    <t>METRO JAYA</t>
  </si>
  <si>
    <t>KROYA</t>
  </si>
  <si>
    <t>AM 23110061</t>
  </si>
  <si>
    <t>KO 4692 4765 4944</t>
  </si>
  <si>
    <t>KADAR BUDHI</t>
  </si>
  <si>
    <t>AM 23110062</t>
  </si>
  <si>
    <t>G 4721</t>
  </si>
  <si>
    <t>MADIUN</t>
  </si>
  <si>
    <t>AM 23110063</t>
  </si>
  <si>
    <t>KO 4722 4723 4762</t>
  </si>
  <si>
    <t>MEDIA</t>
  </si>
  <si>
    <t>CILACAP</t>
  </si>
  <si>
    <t>AM 23110064</t>
  </si>
  <si>
    <t>KO 4523 4528 3281</t>
  </si>
  <si>
    <t>ANEKA</t>
  </si>
  <si>
    <t>AM 23110065</t>
  </si>
  <si>
    <t>KO 4725 4941 4865</t>
  </si>
  <si>
    <t>SUMBER BUKIT</t>
  </si>
  <si>
    <t>SALATIGA</t>
  </si>
  <si>
    <t>AM 23110066</t>
  </si>
  <si>
    <t>G 4726 4947 0516</t>
  </si>
  <si>
    <t>SAHID</t>
  </si>
  <si>
    <t>AM 23110067</t>
  </si>
  <si>
    <t>KO 4728 4773 4910</t>
  </si>
  <si>
    <t>KONDANG</t>
  </si>
  <si>
    <t>TEMANGGUNG</t>
  </si>
  <si>
    <t>AM 23110068</t>
  </si>
  <si>
    <t>KO 4729</t>
  </si>
  <si>
    <t>RITA</t>
  </si>
  <si>
    <t>AM 23110069</t>
  </si>
  <si>
    <t>KO 4730</t>
  </si>
  <si>
    <t>AM 23110070</t>
  </si>
  <si>
    <t>G 4695 4915</t>
  </si>
  <si>
    <t>SAMI LARIS</t>
  </si>
  <si>
    <t>KLATEN</t>
  </si>
  <si>
    <t>AM 23110071</t>
  </si>
  <si>
    <t>A 4696</t>
  </si>
  <si>
    <t>DHIAN</t>
  </si>
  <si>
    <t>BANJARNEGARA</t>
  </si>
  <si>
    <t>AM 23110072</t>
  </si>
  <si>
    <t>KO 4697 0538</t>
  </si>
  <si>
    <t>METRO</t>
  </si>
  <si>
    <t>AM 23110073</t>
  </si>
  <si>
    <t>A 4731</t>
  </si>
  <si>
    <t>WARNA</t>
  </si>
  <si>
    <t>AM 23110074</t>
  </si>
  <si>
    <t>KO 4524 4544 4549</t>
  </si>
  <si>
    <t>BINA ILMU</t>
  </si>
  <si>
    <t>BATU</t>
  </si>
  <si>
    <t>AM 23110075</t>
  </si>
  <si>
    <t>KO 4525 4529 4536</t>
  </si>
  <si>
    <t>DIAN ILMU</t>
  </si>
  <si>
    <t>AM 23110076</t>
  </si>
  <si>
    <t>KO 4698 4767 4811</t>
  </si>
  <si>
    <t>AM 23110077</t>
  </si>
  <si>
    <t>G 4699 4812 4945</t>
  </si>
  <si>
    <t>RINGAN</t>
  </si>
  <si>
    <t>AM 23110078</t>
  </si>
  <si>
    <t>G 4700</t>
  </si>
  <si>
    <t>MINI</t>
  </si>
  <si>
    <t>AM 23110079</t>
  </si>
  <si>
    <t>G 4801 4742 4908</t>
  </si>
  <si>
    <t>SURYA</t>
  </si>
  <si>
    <t>AM 23110080</t>
  </si>
  <si>
    <t>A 4802</t>
  </si>
  <si>
    <t>DOREMI</t>
  </si>
  <si>
    <t>AM 23110081</t>
  </si>
  <si>
    <t>KO 4804 4825</t>
  </si>
  <si>
    <t>MITRA</t>
  </si>
  <si>
    <t>AM 23110082</t>
  </si>
  <si>
    <t>G 4733</t>
  </si>
  <si>
    <t>TAMBAH ILMU</t>
  </si>
  <si>
    <t>AM 23110083</t>
  </si>
  <si>
    <t>G 4734</t>
  </si>
  <si>
    <t>DASCO</t>
  </si>
  <si>
    <t>CIREBON</t>
  </si>
  <si>
    <t>AM 23110084</t>
  </si>
  <si>
    <t>A 4735 4871</t>
  </si>
  <si>
    <t>MIDANGAN</t>
  </si>
  <si>
    <t>AM 23110085</t>
  </si>
  <si>
    <t>KO 4530 4532</t>
  </si>
  <si>
    <t>TOKO 107</t>
  </si>
  <si>
    <t>AM 23110086</t>
  </si>
  <si>
    <t>A 4736</t>
  </si>
  <si>
    <t>RATNA</t>
  </si>
  <si>
    <t>AM 23110087</t>
  </si>
  <si>
    <t>KO 4739 1307 4909</t>
  </si>
  <si>
    <t>KUTOARJO</t>
  </si>
  <si>
    <t>AM 23110088</t>
  </si>
  <si>
    <t>G 4751 4841 4918</t>
  </si>
  <si>
    <t>AL FAIZ</t>
  </si>
  <si>
    <t>AM 23110089</t>
  </si>
  <si>
    <t>G 4754</t>
  </si>
  <si>
    <t>PUSTAKA BARU</t>
  </si>
  <si>
    <t>AM 23110090</t>
  </si>
  <si>
    <t>KO 4761 4826 4849</t>
  </si>
  <si>
    <t>ENAM</t>
  </si>
  <si>
    <t>AM 23110091</t>
  </si>
  <si>
    <t>KO 4766 4929</t>
  </si>
  <si>
    <t>SALIKAH</t>
  </si>
  <si>
    <t>BATANG</t>
  </si>
  <si>
    <t>AM 23110092</t>
  </si>
  <si>
    <t>G 4768 4813 4824</t>
  </si>
  <si>
    <t>PUAS</t>
  </si>
  <si>
    <t>AM 23110093</t>
  </si>
  <si>
    <t>A 4769 4868</t>
  </si>
  <si>
    <t>PRESTASI</t>
  </si>
  <si>
    <t>AJIBARANG</t>
  </si>
  <si>
    <t>AM 23110094</t>
  </si>
  <si>
    <t>KO 3282 4533</t>
  </si>
  <si>
    <t>MERPATI</t>
  </si>
  <si>
    <t>AM 23110095</t>
  </si>
  <si>
    <t>KO 3283 4546</t>
  </si>
  <si>
    <t>SCORPIO</t>
  </si>
  <si>
    <t>AM 23110096</t>
  </si>
  <si>
    <t>G 3284 4823</t>
  </si>
  <si>
    <t>AF TOYS</t>
  </si>
  <si>
    <t>KENDAL</t>
  </si>
  <si>
    <t>AM 23110097</t>
  </si>
  <si>
    <t>KO 3285 0520</t>
  </si>
  <si>
    <t>AM 23110098</t>
  </si>
  <si>
    <t>KO 4770 4827 4836</t>
  </si>
  <si>
    <t>AM 23110099</t>
  </si>
  <si>
    <t>A 4771 4806 4738</t>
  </si>
  <si>
    <t>SIDU / SINAR DUNIA</t>
  </si>
  <si>
    <t>AM 23110100</t>
  </si>
  <si>
    <t>KO 4531 4537 4541</t>
  </si>
  <si>
    <t>MANGGALA SAKTI</t>
  </si>
  <si>
    <t>AM 23110101</t>
  </si>
  <si>
    <t>KO 4807 4844 4925</t>
  </si>
  <si>
    <t>SINKONG</t>
  </si>
  <si>
    <t>PURWOREJO</t>
  </si>
  <si>
    <t>AM 23110102</t>
  </si>
  <si>
    <t>KO 4808 4855</t>
  </si>
  <si>
    <t>KURNIA</t>
  </si>
  <si>
    <t>BANTUL</t>
  </si>
  <si>
    <t>AM 23110103</t>
  </si>
  <si>
    <t>KO 4809 4922</t>
  </si>
  <si>
    <t>AM 23110104</t>
  </si>
  <si>
    <t>A 600 590 591 593</t>
  </si>
  <si>
    <t>SULUNG</t>
  </si>
  <si>
    <t>SEMARANG</t>
  </si>
  <si>
    <t>AM 23110105</t>
  </si>
  <si>
    <t>G 4737 4746 4872</t>
  </si>
  <si>
    <t>MANGGALAM</t>
  </si>
  <si>
    <t>SUKOHARJO</t>
  </si>
  <si>
    <t>AM 23110106</t>
  </si>
  <si>
    <t>KO 4741 4936</t>
  </si>
  <si>
    <t>TERMINAL II</t>
  </si>
  <si>
    <t>AM 23110107</t>
  </si>
  <si>
    <t>KO 4743</t>
  </si>
  <si>
    <t>IKA / ABC</t>
  </si>
  <si>
    <t>PURBALINGGA</t>
  </si>
  <si>
    <t>AM 23110108</t>
  </si>
  <si>
    <t>A 4744</t>
  </si>
  <si>
    <t>MERDEKA</t>
  </si>
  <si>
    <t>BOYOLALI</t>
  </si>
  <si>
    <t>AM 23110109</t>
  </si>
  <si>
    <t>A 4745</t>
  </si>
  <si>
    <t>CENDRAWASIH</t>
  </si>
  <si>
    <t>SRAGEN</t>
  </si>
  <si>
    <t>AM 23110110</t>
  </si>
  <si>
    <t>A 4819</t>
  </si>
  <si>
    <t>AL AMIN</t>
  </si>
  <si>
    <t>WELAHAN</t>
  </si>
  <si>
    <t>AM 23110111</t>
  </si>
  <si>
    <t>G 4820</t>
  </si>
  <si>
    <t>TRISNO</t>
  </si>
  <si>
    <t>PURWODADI</t>
  </si>
  <si>
    <t>AM 23110112</t>
  </si>
  <si>
    <t>KO 4821</t>
  </si>
  <si>
    <t>PELAJAR</t>
  </si>
  <si>
    <t>AM 23110113</t>
  </si>
  <si>
    <t>G 4747</t>
  </si>
  <si>
    <t>ISTANA KADO</t>
  </si>
  <si>
    <t>AM 23110114</t>
  </si>
  <si>
    <t>KO 4748 4917 0509</t>
  </si>
  <si>
    <t>AM 23110115</t>
  </si>
  <si>
    <t>G 4749 4750</t>
  </si>
  <si>
    <t>TRIO PLAZA</t>
  </si>
  <si>
    <t>AM 23110116</t>
  </si>
  <si>
    <t>KO 4535 4540 4543</t>
  </si>
  <si>
    <t>AM 23110117</t>
  </si>
  <si>
    <t>KO 4822</t>
  </si>
  <si>
    <t>MUDA JAYA</t>
  </si>
  <si>
    <t>AM 23110118</t>
  </si>
  <si>
    <t>KO 4828 4840 4846</t>
  </si>
  <si>
    <t>WIJAYA KUSUMA</t>
  </si>
  <si>
    <t>SLEMAN</t>
  </si>
  <si>
    <t>AM 23110119</t>
  </si>
  <si>
    <t>KO 4829 4905 4920</t>
  </si>
  <si>
    <t>SUKSES MAKMUR</t>
  </si>
  <si>
    <t>COMAL</t>
  </si>
  <si>
    <t>AM 23110120</t>
  </si>
  <si>
    <t>G 4830</t>
  </si>
  <si>
    <t>MUBAROK</t>
  </si>
  <si>
    <t>AM 23110121</t>
  </si>
  <si>
    <t>A 4834 0510</t>
  </si>
  <si>
    <t>AYP</t>
  </si>
  <si>
    <t>AM 23110122</t>
  </si>
  <si>
    <t>KO 4835</t>
  </si>
  <si>
    <t>PANGLIMA BESAR STATIONERY</t>
  </si>
  <si>
    <t>AM 23110123</t>
  </si>
  <si>
    <t>H 1111 - 1120</t>
  </si>
  <si>
    <t>CASH</t>
  </si>
  <si>
    <t>AM 23110124</t>
  </si>
  <si>
    <t>A 4904</t>
  </si>
  <si>
    <t>MAESTRO</t>
  </si>
  <si>
    <t>AM 23110125</t>
  </si>
  <si>
    <t>A 4913 4867</t>
  </si>
  <si>
    <t>ABC</t>
  </si>
  <si>
    <t>AM 23110126</t>
  </si>
  <si>
    <t>KO 4837 4873</t>
  </si>
  <si>
    <t>SUKSES</t>
  </si>
  <si>
    <t>AM 23110127</t>
  </si>
  <si>
    <t>A 4838 4861</t>
  </si>
  <si>
    <t>BRUK MENCENG</t>
  </si>
  <si>
    <t>AM 23110128</t>
  </si>
  <si>
    <t>KO 4839</t>
  </si>
  <si>
    <t>SINAR KONDANG</t>
  </si>
  <si>
    <t>AM 23110129</t>
  </si>
  <si>
    <t>G 4843</t>
  </si>
  <si>
    <t>BAHTERA</t>
  </si>
  <si>
    <t>AM 23110130</t>
  </si>
  <si>
    <t>KO 4845 4926</t>
  </si>
  <si>
    <t>AM 23110131</t>
  </si>
  <si>
    <t>KO 4542</t>
  </si>
  <si>
    <t>SIANA (PECINAN)</t>
  </si>
  <si>
    <t>AM 23110132</t>
  </si>
  <si>
    <t>KO 4914 4923</t>
  </si>
  <si>
    <t>MAKMUR</t>
  </si>
  <si>
    <t>AM 23110133</t>
  </si>
  <si>
    <t>KO 4545 4547 4550</t>
  </si>
  <si>
    <t>AM 23110134</t>
  </si>
  <si>
    <t>KO 4847 4933 0522</t>
  </si>
  <si>
    <t>AM 23110135</t>
  </si>
  <si>
    <t>G 4848</t>
  </si>
  <si>
    <t>BERKAH</t>
  </si>
  <si>
    <t>AM 23110136</t>
  </si>
  <si>
    <t>G 4850</t>
  </si>
  <si>
    <t>HARKAT</t>
  </si>
  <si>
    <t>JUWANA</t>
  </si>
  <si>
    <t>AM 23110137</t>
  </si>
  <si>
    <t>A 4921</t>
  </si>
  <si>
    <t>AM 23110138</t>
  </si>
  <si>
    <t>G 4927</t>
  </si>
  <si>
    <t>AM 23110139</t>
  </si>
  <si>
    <t>KO 4930</t>
  </si>
  <si>
    <t>AM 23110140</t>
  </si>
  <si>
    <t>G 4931 4940 0503</t>
  </si>
  <si>
    <t>AM 23110141</t>
  </si>
  <si>
    <t>A 4932 4879</t>
  </si>
  <si>
    <t>GUNUNG JATI</t>
  </si>
  <si>
    <t>AM 23110142</t>
  </si>
  <si>
    <t>KO 4934 0507</t>
  </si>
  <si>
    <t>AM 23110143</t>
  </si>
  <si>
    <t>KO 4869 4938 0508</t>
  </si>
  <si>
    <t>MEMORY</t>
  </si>
  <si>
    <t>AM 23110144</t>
  </si>
  <si>
    <t>G 4943</t>
  </si>
  <si>
    <t>ANGKASA JAYA</t>
  </si>
  <si>
    <t>AM 23110145</t>
  </si>
  <si>
    <t>A 4946</t>
  </si>
  <si>
    <t>TOTEM</t>
  </si>
  <si>
    <t>TEMBALANG</t>
  </si>
  <si>
    <t>AM 23110146</t>
  </si>
  <si>
    <t>G 4948 0525</t>
  </si>
  <si>
    <t>MITRA KAMPUS</t>
  </si>
  <si>
    <t>AM 23110147</t>
  </si>
  <si>
    <t>KO 4950</t>
  </si>
  <si>
    <t>AM 23110148</t>
  </si>
  <si>
    <t>KO 588 596</t>
  </si>
  <si>
    <t>HANSA</t>
  </si>
  <si>
    <t>AM 23110149</t>
  </si>
  <si>
    <t>H 589 594</t>
  </si>
  <si>
    <t>AM 23110150</t>
  </si>
  <si>
    <t>A 595 597 598 599</t>
  </si>
  <si>
    <t>AM 23110151</t>
  </si>
  <si>
    <t>KO 4851</t>
  </si>
  <si>
    <t>LESTARI ADHI</t>
  </si>
  <si>
    <t>AM 23110152</t>
  </si>
  <si>
    <t>KO 4852</t>
  </si>
  <si>
    <t>AM 23110153</t>
  </si>
  <si>
    <t>G 4853 4854</t>
  </si>
  <si>
    <t>SISWA CEMERLANG</t>
  </si>
  <si>
    <t>AM 23110154</t>
  </si>
  <si>
    <t>A 4856</t>
  </si>
  <si>
    <t>IVONE</t>
  </si>
  <si>
    <t>BUMIAYU</t>
  </si>
  <si>
    <t>AM 23110155</t>
  </si>
  <si>
    <t>G 4857</t>
  </si>
  <si>
    <t>MERAH 2</t>
  </si>
  <si>
    <t>AM 23110156</t>
  </si>
  <si>
    <t>G 4858 4859 4860</t>
  </si>
  <si>
    <t>PRISMA</t>
  </si>
  <si>
    <t>AM 23110157</t>
  </si>
  <si>
    <t>A 4862</t>
  </si>
  <si>
    <t>OPUS</t>
  </si>
  <si>
    <t>AM 23110158</t>
  </si>
  <si>
    <t>G 4863</t>
  </si>
  <si>
    <t>HIPPO</t>
  </si>
  <si>
    <t>MAGETAN</t>
  </si>
  <si>
    <t>AM 23110159</t>
  </si>
  <si>
    <t>G 4864</t>
  </si>
  <si>
    <t>PRIMA JAYA</t>
  </si>
  <si>
    <t>UNGARAN</t>
  </si>
  <si>
    <t>AM 23110160</t>
  </si>
  <si>
    <t>G 4866 0502</t>
  </si>
  <si>
    <t>ATLANTIK</t>
  </si>
  <si>
    <t>PONOROGO</t>
  </si>
  <si>
    <t>AM 23110161</t>
  </si>
  <si>
    <t>G 4874 4875</t>
  </si>
  <si>
    <t>SINAR</t>
  </si>
  <si>
    <t>AM 23110162</t>
  </si>
  <si>
    <t>G 4877</t>
  </si>
  <si>
    <t>AM 23110163</t>
  </si>
  <si>
    <t>A 4878</t>
  </si>
  <si>
    <t>SANDI</t>
  </si>
  <si>
    <t>AM 23110164</t>
  </si>
  <si>
    <t>KO 4880</t>
  </si>
  <si>
    <t>BARU CUTE</t>
  </si>
  <si>
    <t>AM 23110165</t>
  </si>
  <si>
    <t>G 4881 4882</t>
  </si>
  <si>
    <t>SARJANA</t>
  </si>
  <si>
    <t>AM 23110166</t>
  </si>
  <si>
    <t>KO 4883</t>
  </si>
  <si>
    <t>AM 23110167</t>
  </si>
  <si>
    <t>KO 4884 0512</t>
  </si>
  <si>
    <t>AM 23110168</t>
  </si>
  <si>
    <t>G 0501</t>
  </si>
  <si>
    <t>AM 23110169</t>
  </si>
  <si>
    <t>KO 0504 0534</t>
  </si>
  <si>
    <t>AM 23110170</t>
  </si>
  <si>
    <t>A 0514</t>
  </si>
  <si>
    <t>PENAMAS</t>
  </si>
  <si>
    <t>AM 23110171</t>
  </si>
  <si>
    <t>G 0515</t>
  </si>
  <si>
    <t>AM 23110172</t>
  </si>
  <si>
    <t>KO 0518</t>
  </si>
  <si>
    <t>INDOBARU</t>
  </si>
  <si>
    <t>AM 23110173</t>
  </si>
  <si>
    <t>KO 0521</t>
  </si>
  <si>
    <t>OBRAL</t>
  </si>
  <si>
    <t>AM 23110174</t>
  </si>
  <si>
    <t>KO 0524</t>
  </si>
  <si>
    <t>AM 23110175</t>
  </si>
  <si>
    <t>KO 0526</t>
  </si>
  <si>
    <t>AM 23110176</t>
  </si>
  <si>
    <t>KO 0527</t>
  </si>
  <si>
    <t>AM 23110177</t>
  </si>
  <si>
    <t>KO 0531</t>
  </si>
  <si>
    <t>BARU SWALAYAN</t>
  </si>
  <si>
    <t>AM 23110178</t>
  </si>
  <si>
    <t>KO 0535</t>
  </si>
  <si>
    <t>AM 23110179</t>
  </si>
  <si>
    <t>N 1480 - 1489</t>
  </si>
  <si>
    <t>BENGAWAN RETAIL MANDIRI</t>
  </si>
  <si>
    <t>AM 23110180</t>
  </si>
  <si>
    <t>A 1496 1490- 1494</t>
  </si>
  <si>
    <t>AM 23110181</t>
  </si>
  <si>
    <t>KO 4128</t>
  </si>
  <si>
    <t>SAHABAT BARU</t>
  </si>
  <si>
    <t>AM 23110182</t>
  </si>
  <si>
    <t>KO 4129</t>
  </si>
  <si>
    <t>AM 23110183</t>
  </si>
  <si>
    <t>H 1121 - 1130</t>
  </si>
  <si>
    <t>AM 23110184</t>
  </si>
  <si>
    <t>H 1131 - 1140</t>
  </si>
  <si>
    <t>AM 23110185</t>
  </si>
  <si>
    <t>H 1141 - 1150</t>
  </si>
  <si>
    <t>AM 23110186</t>
  </si>
  <si>
    <t>H 1151 - 1160</t>
  </si>
  <si>
    <t>AM 23110187</t>
  </si>
  <si>
    <t>H 1161 - 1170</t>
  </si>
  <si>
    <t>AM 23110188</t>
  </si>
  <si>
    <t>H 1171 - 1180</t>
  </si>
  <si>
    <t>AM 23110189</t>
  </si>
  <si>
    <t>H 1181 - 1190</t>
  </si>
  <si>
    <t>AM 23110190</t>
  </si>
  <si>
    <t>H 1190 - 1199</t>
  </si>
  <si>
    <t>31.267.219.9-614.000</t>
  </si>
  <si>
    <t>CV SAMUDERA ANGKASA JAYA</t>
  </si>
  <si>
    <t>010.012-23.39680191</t>
  </si>
  <si>
    <t>Mon Dec 18 09:34:17 WIB 2023</t>
  </si>
  <si>
    <t>Mon Dec 18 09:38:41 WIB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</si>
</sst>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/>
    <xf numFmtId="0" fontId="0" fillId="0" borderId="0" xfId="0" applyFont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4" fontId="3" fillId="0" borderId="0" xfId="1" applyNumberFormat="1" applyFont="1" applyFill="1" applyBorder="1" applyAlignment="1"/>
    <xf numFmtId="3" fontId="0" fillId="0" borderId="0" xfId="0" applyNumberFormat="1" applyAlignment="1">
      <alignment vertical="center"/>
    </xf>
    <xf numFmtId="3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4" fontId="3" fillId="0" borderId="0" xfId="1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3" fontId="0" fillId="0" borderId="1" xfId="0" applyNumberForma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/>
    <xf numFmtId="164" fontId="3" fillId="0" borderId="0" xfId="0" applyNumberFormat="1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quotePrefix="1" applyFont="1" applyFill="1" applyBorder="1" applyAlignment="1">
      <alignment vertical="center"/>
    </xf>
    <xf numFmtId="0" fontId="3" fillId="0" borderId="0" xfId="0" quotePrefix="1" applyFont="1" applyFill="1" applyBorder="1" applyAlignment="1"/>
    <xf numFmtId="4" fontId="3" fillId="0" borderId="0" xfId="1" quotePrefix="1" applyNumberFormat="1" applyFont="1" applyFill="1" applyBorder="1" applyAlignment="1"/>
    <xf numFmtId="3" fontId="0" fillId="0" borderId="0" xfId="0" applyNumberFormat="1" applyFont="1" applyBorder="1"/>
    <xf numFmtId="41" fontId="0" fillId="0" borderId="0" xfId="0" applyNumberFormat="1" applyFont="1" applyBorder="1"/>
    <xf numFmtId="3" fontId="4" fillId="0" borderId="1" xfId="1" applyNumberFormat="1" applyFont="1" applyFill="1" applyBorder="1" applyAlignment="1"/>
    <xf numFmtId="4" fontId="4" fillId="0" borderId="1" xfId="1" applyNumberFormat="1" applyFont="1" applyFill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8"/>
  <sheetViews>
    <sheetView tabSelected="1" topLeftCell="A88" workbookViewId="0">
      <selection activeCell="K89" sqref="K89"/>
    </sheetView>
  </sheetViews>
  <sheetFormatPr defaultRowHeight="15" x14ac:dyDescent="0.25"/>
  <cols>
    <col min="1" max="1" width="5.7109375" style="4" customWidth="1"/>
    <col min="2" max="2" width="12.85546875" customWidth="1"/>
    <col min="3" max="4" width="9.140625" customWidth="1"/>
    <col min="5" max="5" width="10.7109375" customWidth="1"/>
    <col min="6" max="6" width="13.42578125" customWidth="1"/>
    <col min="7" max="8" width="10.140625" customWidth="1"/>
    <col min="9" max="9" width="11.5703125" bestFit="1" customWidth="1"/>
    <col min="10" max="10" width="14.42578125" style="6" bestFit="1" customWidth="1"/>
    <col min="11" max="11" width="14.140625" style="6" bestFit="1" customWidth="1"/>
    <col min="12" max="12" width="15.5703125" bestFit="1" customWidth="1"/>
    <col min="17" max="17" width="13.5703125" style="6" customWidth="1"/>
    <col min="19" max="19" width="12.7109375" bestFit="1" customWidth="1"/>
  </cols>
  <sheetData>
    <row r="1" spans="1:19" s="2" customFormat="1" x14ac:dyDescent="0.25">
      <c r="A1" s="1" t="s">
        <v>0</v>
      </c>
      <c r="J1" s="3" t="s">
        <v>1</v>
      </c>
      <c r="K1" s="3" t="s">
        <v>2</v>
      </c>
      <c r="Q1" s="3"/>
    </row>
    <row r="2" spans="1:19" x14ac:dyDescent="0.25">
      <c r="A2" s="4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5">
        <v>11</v>
      </c>
      <c r="G2" s="5">
        <v>2023</v>
      </c>
      <c r="H2" s="5" t="s">
        <v>12</v>
      </c>
      <c r="I2" s="5">
        <v>1</v>
      </c>
      <c r="J2" s="26">
        <v>55508108</v>
      </c>
      <c r="K2" s="26">
        <v>6105891</v>
      </c>
      <c r="L2" s="5">
        <v>0</v>
      </c>
      <c r="M2" s="5" t="s">
        <v>13</v>
      </c>
      <c r="N2" s="5" t="s">
        <v>14</v>
      </c>
      <c r="O2" s="5" t="s">
        <v>13</v>
      </c>
      <c r="P2" s="5" t="s">
        <v>15</v>
      </c>
      <c r="Q2" s="5" t="s">
        <v>16</v>
      </c>
      <c r="R2" s="5" t="s">
        <v>15</v>
      </c>
      <c r="S2" s="5"/>
    </row>
    <row r="3" spans="1:19" x14ac:dyDescent="0.25">
      <c r="A3" s="4">
        <v>2</v>
      </c>
      <c r="B3" s="5" t="s">
        <v>8</v>
      </c>
      <c r="C3" s="5" t="s">
        <v>9</v>
      </c>
      <c r="D3" s="5" t="s">
        <v>17</v>
      </c>
      <c r="E3" s="5" t="s">
        <v>11</v>
      </c>
      <c r="F3" s="5">
        <v>11</v>
      </c>
      <c r="G3" s="5">
        <v>2023</v>
      </c>
      <c r="H3" s="5" t="s">
        <v>12</v>
      </c>
      <c r="I3" s="5">
        <v>1</v>
      </c>
      <c r="J3" s="26">
        <v>30364864</v>
      </c>
      <c r="K3" s="26">
        <v>3340135</v>
      </c>
      <c r="L3" s="5">
        <v>0</v>
      </c>
      <c r="M3" s="5" t="s">
        <v>13</v>
      </c>
      <c r="N3" s="5" t="s">
        <v>14</v>
      </c>
      <c r="O3" s="5" t="s">
        <v>13</v>
      </c>
      <c r="P3" s="5" t="s">
        <v>15</v>
      </c>
      <c r="Q3" s="5" t="s">
        <v>18</v>
      </c>
      <c r="R3" s="5" t="s">
        <v>15</v>
      </c>
      <c r="S3" s="5"/>
    </row>
    <row r="4" spans="1:19" x14ac:dyDescent="0.25">
      <c r="A4" s="4">
        <v>3</v>
      </c>
      <c r="B4" s="5" t="s">
        <v>19</v>
      </c>
      <c r="C4" s="5" t="s">
        <v>20</v>
      </c>
      <c r="D4" s="5" t="s">
        <v>21</v>
      </c>
      <c r="E4" s="5" t="s">
        <v>22</v>
      </c>
      <c r="F4" s="5">
        <v>11</v>
      </c>
      <c r="G4" s="5">
        <v>2023</v>
      </c>
      <c r="H4" s="5" t="s">
        <v>12</v>
      </c>
      <c r="I4" s="5">
        <v>1</v>
      </c>
      <c r="J4" s="26">
        <v>8529624</v>
      </c>
      <c r="K4" s="26">
        <v>938258</v>
      </c>
      <c r="L4" s="5">
        <v>0</v>
      </c>
      <c r="M4" s="5" t="s">
        <v>13</v>
      </c>
      <c r="N4" s="5" t="s">
        <v>14</v>
      </c>
      <c r="O4" s="5" t="s">
        <v>13</v>
      </c>
      <c r="P4" s="5" t="s">
        <v>15</v>
      </c>
      <c r="Q4" s="5" t="s">
        <v>23</v>
      </c>
      <c r="R4" s="5" t="s">
        <v>15</v>
      </c>
      <c r="S4" s="5"/>
    </row>
    <row r="5" spans="1:19" x14ac:dyDescent="0.25">
      <c r="A5" s="4">
        <v>4</v>
      </c>
      <c r="B5" s="5" t="s">
        <v>19</v>
      </c>
      <c r="C5" s="5" t="s">
        <v>20</v>
      </c>
      <c r="D5" s="5" t="s">
        <v>24</v>
      </c>
      <c r="E5" s="5" t="s">
        <v>25</v>
      </c>
      <c r="F5" s="5">
        <v>11</v>
      </c>
      <c r="G5" s="5">
        <v>2023</v>
      </c>
      <c r="H5" s="5" t="s">
        <v>12</v>
      </c>
      <c r="I5" s="5">
        <v>1</v>
      </c>
      <c r="J5" s="26">
        <v>2724288</v>
      </c>
      <c r="K5" s="26">
        <v>299671</v>
      </c>
      <c r="L5" s="5">
        <v>0</v>
      </c>
      <c r="M5" s="5" t="s">
        <v>13</v>
      </c>
      <c r="N5" s="5" t="s">
        <v>14</v>
      </c>
      <c r="O5" s="5" t="s">
        <v>13</v>
      </c>
      <c r="P5" s="5" t="s">
        <v>15</v>
      </c>
      <c r="Q5" s="5" t="s">
        <v>26</v>
      </c>
      <c r="R5" s="5" t="s">
        <v>15</v>
      </c>
      <c r="S5" s="5"/>
    </row>
    <row r="6" spans="1:19" x14ac:dyDescent="0.25">
      <c r="A6" s="4">
        <v>5</v>
      </c>
      <c r="B6" s="5" t="s">
        <v>27</v>
      </c>
      <c r="C6" s="5" t="s">
        <v>28</v>
      </c>
      <c r="D6" s="5" t="s">
        <v>29</v>
      </c>
      <c r="E6" s="5" t="s">
        <v>30</v>
      </c>
      <c r="F6" s="5">
        <v>11</v>
      </c>
      <c r="G6" s="5">
        <v>2023</v>
      </c>
      <c r="H6" s="5" t="s">
        <v>12</v>
      </c>
      <c r="I6" s="5">
        <v>1</v>
      </c>
      <c r="J6" s="26">
        <v>6669414</v>
      </c>
      <c r="K6" s="26">
        <v>733636</v>
      </c>
      <c r="L6" s="5">
        <v>0</v>
      </c>
      <c r="M6" s="5" t="s">
        <v>13</v>
      </c>
      <c r="N6" s="5" t="s">
        <v>14</v>
      </c>
      <c r="O6" s="5" t="s">
        <v>13</v>
      </c>
      <c r="P6" s="5" t="s">
        <v>15</v>
      </c>
      <c r="Q6" s="5" t="s">
        <v>31</v>
      </c>
      <c r="R6" s="5" t="s">
        <v>15</v>
      </c>
      <c r="S6" s="5"/>
    </row>
    <row r="7" spans="1:19" x14ac:dyDescent="0.25">
      <c r="A7" s="4">
        <v>6</v>
      </c>
      <c r="B7" s="5" t="s">
        <v>27</v>
      </c>
      <c r="C7" s="5" t="s">
        <v>28</v>
      </c>
      <c r="D7" s="5" t="s">
        <v>32</v>
      </c>
      <c r="E7" s="5" t="s">
        <v>33</v>
      </c>
      <c r="F7" s="5">
        <v>11</v>
      </c>
      <c r="G7" s="5">
        <v>2023</v>
      </c>
      <c r="H7" s="5" t="s">
        <v>12</v>
      </c>
      <c r="I7" s="5">
        <v>1</v>
      </c>
      <c r="J7" s="26">
        <v>6669414</v>
      </c>
      <c r="K7" s="26">
        <v>733636</v>
      </c>
      <c r="L7" s="5">
        <v>0</v>
      </c>
      <c r="M7" s="5" t="s">
        <v>13</v>
      </c>
      <c r="N7" s="5" t="s">
        <v>14</v>
      </c>
      <c r="O7" s="5" t="s">
        <v>13</v>
      </c>
      <c r="P7" s="5" t="s">
        <v>15</v>
      </c>
      <c r="Q7" s="5" t="s">
        <v>34</v>
      </c>
      <c r="R7" s="5" t="s">
        <v>15</v>
      </c>
      <c r="S7" s="5"/>
    </row>
    <row r="8" spans="1:19" x14ac:dyDescent="0.25">
      <c r="A8" s="4">
        <v>7</v>
      </c>
      <c r="B8" s="5" t="s">
        <v>27</v>
      </c>
      <c r="C8" s="5" t="s">
        <v>28</v>
      </c>
      <c r="D8" s="5" t="s">
        <v>35</v>
      </c>
      <c r="E8" s="5" t="s">
        <v>33</v>
      </c>
      <c r="F8" s="5">
        <v>11</v>
      </c>
      <c r="G8" s="5">
        <v>2023</v>
      </c>
      <c r="H8" s="5" t="s">
        <v>12</v>
      </c>
      <c r="I8" s="5">
        <v>1</v>
      </c>
      <c r="J8" s="26">
        <v>15561982</v>
      </c>
      <c r="K8" s="26">
        <v>1711818</v>
      </c>
      <c r="L8" s="5">
        <v>0</v>
      </c>
      <c r="M8" s="5" t="s">
        <v>13</v>
      </c>
      <c r="N8" s="5" t="s">
        <v>36</v>
      </c>
      <c r="O8" s="5" t="s">
        <v>13</v>
      </c>
      <c r="P8" s="5" t="s">
        <v>15</v>
      </c>
      <c r="Q8" s="5" t="s">
        <v>37</v>
      </c>
      <c r="R8" s="5" t="s">
        <v>15</v>
      </c>
      <c r="S8" s="5"/>
    </row>
    <row r="9" spans="1:19" x14ac:dyDescent="0.25">
      <c r="A9" s="4">
        <v>8</v>
      </c>
      <c r="B9" s="5" t="s">
        <v>27</v>
      </c>
      <c r="C9" s="5" t="s">
        <v>28</v>
      </c>
      <c r="D9" s="5" t="s">
        <v>38</v>
      </c>
      <c r="E9" s="5" t="s">
        <v>39</v>
      </c>
      <c r="F9" s="5">
        <v>11</v>
      </c>
      <c r="G9" s="5">
        <v>2023</v>
      </c>
      <c r="H9" s="5" t="s">
        <v>12</v>
      </c>
      <c r="I9" s="5">
        <v>1</v>
      </c>
      <c r="J9" s="26">
        <v>6669414</v>
      </c>
      <c r="K9" s="26">
        <v>733636</v>
      </c>
      <c r="L9" s="5">
        <v>0</v>
      </c>
      <c r="M9" s="5" t="s">
        <v>13</v>
      </c>
      <c r="N9" s="5" t="s">
        <v>36</v>
      </c>
      <c r="O9" s="5" t="s">
        <v>13</v>
      </c>
      <c r="P9" s="5" t="s">
        <v>15</v>
      </c>
      <c r="Q9" s="5" t="s">
        <v>40</v>
      </c>
      <c r="R9" s="5" t="s">
        <v>15</v>
      </c>
      <c r="S9" s="5"/>
    </row>
    <row r="10" spans="1:19" x14ac:dyDescent="0.25">
      <c r="A10" s="4">
        <v>9</v>
      </c>
      <c r="B10" s="5" t="s">
        <v>41</v>
      </c>
      <c r="C10" s="5" t="s">
        <v>42</v>
      </c>
      <c r="D10" s="5" t="s">
        <v>43</v>
      </c>
      <c r="E10" s="5" t="s">
        <v>44</v>
      </c>
      <c r="F10" s="5">
        <v>11</v>
      </c>
      <c r="G10" s="5">
        <v>2023</v>
      </c>
      <c r="H10" s="5" t="s">
        <v>12</v>
      </c>
      <c r="I10" s="5">
        <v>1</v>
      </c>
      <c r="J10" s="26">
        <v>5370000</v>
      </c>
      <c r="K10" s="26">
        <v>590700</v>
      </c>
      <c r="L10" s="5">
        <v>0</v>
      </c>
      <c r="M10" s="5" t="s">
        <v>13</v>
      </c>
      <c r="N10" s="5" t="s">
        <v>36</v>
      </c>
      <c r="O10" s="5" t="s">
        <v>13</v>
      </c>
      <c r="P10" s="5" t="s">
        <v>15</v>
      </c>
      <c r="Q10" s="5" t="s">
        <v>45</v>
      </c>
      <c r="R10" s="5" t="s">
        <v>15</v>
      </c>
      <c r="S10" s="5"/>
    </row>
    <row r="11" spans="1:19" x14ac:dyDescent="0.25">
      <c r="A11" s="4">
        <v>10</v>
      </c>
      <c r="B11" s="5" t="s">
        <v>41</v>
      </c>
      <c r="C11" s="5" t="s">
        <v>42</v>
      </c>
      <c r="D11" s="5" t="s">
        <v>46</v>
      </c>
      <c r="E11" s="5" t="s">
        <v>47</v>
      </c>
      <c r="F11" s="5">
        <v>11</v>
      </c>
      <c r="G11" s="5">
        <v>2023</v>
      </c>
      <c r="H11" s="5" t="s">
        <v>12</v>
      </c>
      <c r="I11" s="5">
        <v>1</v>
      </c>
      <c r="J11" s="26">
        <v>4482000</v>
      </c>
      <c r="K11" s="26">
        <v>493020</v>
      </c>
      <c r="L11" s="5">
        <v>0</v>
      </c>
      <c r="M11" s="5" t="s">
        <v>13</v>
      </c>
      <c r="N11" s="5" t="s">
        <v>36</v>
      </c>
      <c r="O11" s="5" t="s">
        <v>13</v>
      </c>
      <c r="P11" s="5" t="s">
        <v>15</v>
      </c>
      <c r="Q11" s="5" t="s">
        <v>48</v>
      </c>
      <c r="R11" s="5" t="s">
        <v>15</v>
      </c>
      <c r="S11" s="5"/>
    </row>
    <row r="12" spans="1:19" x14ac:dyDescent="0.25">
      <c r="A12" s="4">
        <v>11</v>
      </c>
      <c r="B12" s="5" t="s">
        <v>41</v>
      </c>
      <c r="C12" s="5" t="s">
        <v>42</v>
      </c>
      <c r="D12" s="5" t="s">
        <v>49</v>
      </c>
      <c r="E12" s="5" t="s">
        <v>50</v>
      </c>
      <c r="F12" s="5">
        <v>11</v>
      </c>
      <c r="G12" s="5">
        <v>2023</v>
      </c>
      <c r="H12" s="5" t="s">
        <v>12</v>
      </c>
      <c r="I12" s="5">
        <v>1</v>
      </c>
      <c r="J12" s="26">
        <v>10471000</v>
      </c>
      <c r="K12" s="26">
        <v>1151810</v>
      </c>
      <c r="L12" s="5">
        <v>0</v>
      </c>
      <c r="M12" s="5" t="s">
        <v>13</v>
      </c>
      <c r="N12" s="5" t="s">
        <v>36</v>
      </c>
      <c r="O12" s="5" t="s">
        <v>13</v>
      </c>
      <c r="P12" s="5" t="s">
        <v>15</v>
      </c>
      <c r="Q12" s="5" t="s">
        <v>51</v>
      </c>
      <c r="R12" s="5" t="s">
        <v>15</v>
      </c>
      <c r="S12" s="5"/>
    </row>
    <row r="13" spans="1:19" x14ac:dyDescent="0.25">
      <c r="A13" s="4">
        <v>12</v>
      </c>
      <c r="B13" s="5" t="s">
        <v>41</v>
      </c>
      <c r="C13" s="5" t="s">
        <v>42</v>
      </c>
      <c r="D13" s="5" t="s">
        <v>52</v>
      </c>
      <c r="E13" s="5" t="s">
        <v>22</v>
      </c>
      <c r="F13" s="5">
        <v>11</v>
      </c>
      <c r="G13" s="5">
        <v>2023</v>
      </c>
      <c r="H13" s="5" t="s">
        <v>12</v>
      </c>
      <c r="I13" s="5">
        <v>1</v>
      </c>
      <c r="J13" s="26">
        <v>10728000</v>
      </c>
      <c r="K13" s="26">
        <v>1180080</v>
      </c>
      <c r="L13" s="5">
        <v>0</v>
      </c>
      <c r="M13" s="5" t="s">
        <v>13</v>
      </c>
      <c r="N13" s="5" t="s">
        <v>36</v>
      </c>
      <c r="O13" s="5" t="s">
        <v>13</v>
      </c>
      <c r="P13" s="5" t="s">
        <v>15</v>
      </c>
      <c r="Q13" s="5" t="s">
        <v>53</v>
      </c>
      <c r="R13" s="5" t="s">
        <v>15</v>
      </c>
      <c r="S13" s="5"/>
    </row>
    <row r="14" spans="1:19" x14ac:dyDescent="0.25">
      <c r="A14" s="4">
        <v>13</v>
      </c>
      <c r="B14" s="5" t="s">
        <v>54</v>
      </c>
      <c r="C14" s="5" t="s">
        <v>55</v>
      </c>
      <c r="D14" s="5" t="s">
        <v>56</v>
      </c>
      <c r="E14" s="5" t="s">
        <v>30</v>
      </c>
      <c r="F14" s="5">
        <v>11</v>
      </c>
      <c r="G14" s="5">
        <v>2023</v>
      </c>
      <c r="H14" s="5" t="s">
        <v>12</v>
      </c>
      <c r="I14" s="5">
        <v>1</v>
      </c>
      <c r="J14" s="26">
        <v>202606140</v>
      </c>
      <c r="K14" s="26">
        <v>22286675</v>
      </c>
      <c r="L14" s="5">
        <v>0</v>
      </c>
      <c r="M14" s="5" t="s">
        <v>13</v>
      </c>
      <c r="N14" s="5" t="s">
        <v>57</v>
      </c>
      <c r="O14" s="5" t="s">
        <v>13</v>
      </c>
      <c r="P14" s="5" t="s">
        <v>15</v>
      </c>
      <c r="Q14" s="5" t="s">
        <v>58</v>
      </c>
      <c r="R14" s="5" t="s">
        <v>15</v>
      </c>
      <c r="S14" s="5"/>
    </row>
    <row r="15" spans="1:19" x14ac:dyDescent="0.25">
      <c r="A15" s="4">
        <v>14</v>
      </c>
      <c r="B15" s="5" t="s">
        <v>54</v>
      </c>
      <c r="C15" s="5" t="s">
        <v>55</v>
      </c>
      <c r="D15" s="5" t="s">
        <v>59</v>
      </c>
      <c r="E15" s="5" t="s">
        <v>30</v>
      </c>
      <c r="F15" s="5">
        <v>11</v>
      </c>
      <c r="G15" s="5">
        <v>2023</v>
      </c>
      <c r="H15" s="5" t="s">
        <v>12</v>
      </c>
      <c r="I15" s="5">
        <v>1</v>
      </c>
      <c r="J15" s="26">
        <v>39136818</v>
      </c>
      <c r="K15" s="26">
        <v>4305049</v>
      </c>
      <c r="L15" s="5">
        <v>0</v>
      </c>
      <c r="M15" s="5" t="s">
        <v>13</v>
      </c>
      <c r="N15" s="5" t="s">
        <v>57</v>
      </c>
      <c r="O15" s="5" t="s">
        <v>13</v>
      </c>
      <c r="P15" s="5" t="s">
        <v>15</v>
      </c>
      <c r="Q15" s="5" t="s">
        <v>60</v>
      </c>
      <c r="R15" s="5" t="s">
        <v>15</v>
      </c>
      <c r="S15" s="5"/>
    </row>
    <row r="16" spans="1:19" x14ac:dyDescent="0.25">
      <c r="A16" s="4">
        <v>15</v>
      </c>
      <c r="B16" s="5" t="s">
        <v>54</v>
      </c>
      <c r="C16" s="5" t="s">
        <v>55</v>
      </c>
      <c r="D16" s="5" t="s">
        <v>61</v>
      </c>
      <c r="E16" s="5" t="s">
        <v>30</v>
      </c>
      <c r="F16" s="5">
        <v>11</v>
      </c>
      <c r="G16" s="5">
        <v>2023</v>
      </c>
      <c r="H16" s="5" t="s">
        <v>12</v>
      </c>
      <c r="I16" s="5">
        <v>1</v>
      </c>
      <c r="J16" s="26">
        <v>24162421</v>
      </c>
      <c r="K16" s="26">
        <v>2657866</v>
      </c>
      <c r="L16" s="5">
        <v>0</v>
      </c>
      <c r="M16" s="5" t="s">
        <v>13</v>
      </c>
      <c r="N16" s="5" t="s">
        <v>57</v>
      </c>
      <c r="O16" s="5" t="s">
        <v>13</v>
      </c>
      <c r="P16" s="5" t="s">
        <v>15</v>
      </c>
      <c r="Q16" s="5" t="s">
        <v>62</v>
      </c>
      <c r="R16" s="5" t="s">
        <v>15</v>
      </c>
      <c r="S16" s="5"/>
    </row>
    <row r="17" spans="1:19" x14ac:dyDescent="0.25">
      <c r="A17" s="4">
        <v>16</v>
      </c>
      <c r="B17" s="5" t="s">
        <v>54</v>
      </c>
      <c r="C17" s="5" t="s">
        <v>55</v>
      </c>
      <c r="D17" s="5" t="s">
        <v>63</v>
      </c>
      <c r="E17" s="5" t="s">
        <v>30</v>
      </c>
      <c r="F17" s="5">
        <v>11</v>
      </c>
      <c r="G17" s="5">
        <v>2023</v>
      </c>
      <c r="H17" s="5" t="s">
        <v>12</v>
      </c>
      <c r="I17" s="5">
        <v>1</v>
      </c>
      <c r="J17" s="26">
        <v>117031076</v>
      </c>
      <c r="K17" s="26">
        <v>12873418</v>
      </c>
      <c r="L17" s="5">
        <v>0</v>
      </c>
      <c r="M17" s="5" t="s">
        <v>13</v>
      </c>
      <c r="N17" s="5" t="s">
        <v>57</v>
      </c>
      <c r="O17" s="5" t="s">
        <v>13</v>
      </c>
      <c r="P17" s="5" t="s">
        <v>15</v>
      </c>
      <c r="Q17" s="5" t="s">
        <v>64</v>
      </c>
      <c r="R17" s="5" t="s">
        <v>15</v>
      </c>
      <c r="S17" s="5"/>
    </row>
    <row r="18" spans="1:19" x14ac:dyDescent="0.25">
      <c r="A18" s="4">
        <v>17</v>
      </c>
      <c r="B18" s="5" t="s">
        <v>54</v>
      </c>
      <c r="C18" s="5" t="s">
        <v>55</v>
      </c>
      <c r="D18" s="5" t="s">
        <v>65</v>
      </c>
      <c r="E18" s="5" t="s">
        <v>30</v>
      </c>
      <c r="F18" s="5">
        <v>11</v>
      </c>
      <c r="G18" s="5">
        <v>2023</v>
      </c>
      <c r="H18" s="5" t="s">
        <v>12</v>
      </c>
      <c r="I18" s="5">
        <v>1</v>
      </c>
      <c r="J18" s="26">
        <v>14008605</v>
      </c>
      <c r="K18" s="26">
        <v>1540946</v>
      </c>
      <c r="L18" s="5">
        <v>0</v>
      </c>
      <c r="M18" s="5" t="s">
        <v>13</v>
      </c>
      <c r="N18" s="5" t="s">
        <v>57</v>
      </c>
      <c r="O18" s="5" t="s">
        <v>13</v>
      </c>
      <c r="P18" s="5" t="s">
        <v>15</v>
      </c>
      <c r="Q18" s="5" t="s">
        <v>66</v>
      </c>
      <c r="R18" s="5" t="s">
        <v>15</v>
      </c>
      <c r="S18" s="5"/>
    </row>
    <row r="19" spans="1:19" x14ac:dyDescent="0.25">
      <c r="A19" s="4">
        <v>18</v>
      </c>
      <c r="B19" s="5" t="s">
        <v>54</v>
      </c>
      <c r="C19" s="5" t="s">
        <v>55</v>
      </c>
      <c r="D19" s="5" t="s">
        <v>67</v>
      </c>
      <c r="E19" s="5" t="s">
        <v>30</v>
      </c>
      <c r="F19" s="5">
        <v>11</v>
      </c>
      <c r="G19" s="5">
        <v>2023</v>
      </c>
      <c r="H19" s="5" t="s">
        <v>12</v>
      </c>
      <c r="I19" s="5">
        <v>1</v>
      </c>
      <c r="J19" s="26">
        <v>4792464</v>
      </c>
      <c r="K19" s="26">
        <v>527171</v>
      </c>
      <c r="L19" s="5">
        <v>0</v>
      </c>
      <c r="M19" s="5" t="s">
        <v>13</v>
      </c>
      <c r="N19" s="5" t="s">
        <v>57</v>
      </c>
      <c r="O19" s="5" t="s">
        <v>13</v>
      </c>
      <c r="P19" s="5" t="s">
        <v>15</v>
      </c>
      <c r="Q19" s="5" t="s">
        <v>68</v>
      </c>
      <c r="R19" s="5" t="s">
        <v>15</v>
      </c>
      <c r="S19" s="5"/>
    </row>
    <row r="20" spans="1:19" x14ac:dyDescent="0.25">
      <c r="A20" s="4">
        <v>19</v>
      </c>
      <c r="B20" s="5" t="s">
        <v>54</v>
      </c>
      <c r="C20" s="5" t="s">
        <v>55</v>
      </c>
      <c r="D20" s="5" t="s">
        <v>69</v>
      </c>
      <c r="E20" s="5" t="s">
        <v>70</v>
      </c>
      <c r="F20" s="5">
        <v>11</v>
      </c>
      <c r="G20" s="5">
        <v>2023</v>
      </c>
      <c r="H20" s="5" t="s">
        <v>12</v>
      </c>
      <c r="I20" s="5">
        <v>1</v>
      </c>
      <c r="J20" s="26">
        <v>3230270</v>
      </c>
      <c r="K20" s="26">
        <v>355329</v>
      </c>
      <c r="L20" s="5">
        <v>0</v>
      </c>
      <c r="M20" s="5" t="s">
        <v>13</v>
      </c>
      <c r="N20" s="5" t="s">
        <v>71</v>
      </c>
      <c r="O20" s="5" t="s">
        <v>13</v>
      </c>
      <c r="P20" s="5" t="s">
        <v>15</v>
      </c>
      <c r="Q20" s="5" t="s">
        <v>72</v>
      </c>
      <c r="R20" s="5" t="s">
        <v>15</v>
      </c>
      <c r="S20" s="5"/>
    </row>
    <row r="21" spans="1:19" x14ac:dyDescent="0.25">
      <c r="A21" s="4">
        <v>20</v>
      </c>
      <c r="B21" s="5" t="s">
        <v>54</v>
      </c>
      <c r="C21" s="5" t="s">
        <v>55</v>
      </c>
      <c r="D21" s="5" t="s">
        <v>73</v>
      </c>
      <c r="E21" s="5" t="s">
        <v>44</v>
      </c>
      <c r="F21" s="5">
        <v>11</v>
      </c>
      <c r="G21" s="5">
        <v>2023</v>
      </c>
      <c r="H21" s="5" t="s">
        <v>12</v>
      </c>
      <c r="I21" s="5">
        <v>1</v>
      </c>
      <c r="J21" s="26">
        <v>12927063</v>
      </c>
      <c r="K21" s="26">
        <v>1421976</v>
      </c>
      <c r="L21" s="5">
        <v>0</v>
      </c>
      <c r="M21" s="5" t="s">
        <v>13</v>
      </c>
      <c r="N21" s="5" t="s">
        <v>71</v>
      </c>
      <c r="O21" s="5" t="s">
        <v>13</v>
      </c>
      <c r="P21" s="5" t="s">
        <v>15</v>
      </c>
      <c r="Q21" s="5" t="s">
        <v>74</v>
      </c>
      <c r="R21" s="5" t="s">
        <v>15</v>
      </c>
      <c r="S21" s="5"/>
    </row>
    <row r="22" spans="1:19" x14ac:dyDescent="0.25">
      <c r="A22" s="4">
        <v>21</v>
      </c>
      <c r="B22" s="5" t="s">
        <v>54</v>
      </c>
      <c r="C22" s="5" t="s">
        <v>55</v>
      </c>
      <c r="D22" s="5" t="s">
        <v>75</v>
      </c>
      <c r="E22" s="5" t="s">
        <v>76</v>
      </c>
      <c r="F22" s="5">
        <v>11</v>
      </c>
      <c r="G22" s="5">
        <v>2023</v>
      </c>
      <c r="H22" s="5" t="s">
        <v>12</v>
      </c>
      <c r="I22" s="5">
        <v>1</v>
      </c>
      <c r="J22" s="26">
        <v>61584205</v>
      </c>
      <c r="K22" s="26">
        <v>6774262</v>
      </c>
      <c r="L22" s="5">
        <v>0</v>
      </c>
      <c r="M22" s="5" t="s">
        <v>13</v>
      </c>
      <c r="N22" s="5" t="s">
        <v>71</v>
      </c>
      <c r="O22" s="5" t="s">
        <v>13</v>
      </c>
      <c r="P22" s="5" t="s">
        <v>15</v>
      </c>
      <c r="Q22" s="5" t="s">
        <v>77</v>
      </c>
      <c r="R22" s="5" t="s">
        <v>15</v>
      </c>
      <c r="S22" s="5"/>
    </row>
    <row r="23" spans="1:19" x14ac:dyDescent="0.25">
      <c r="A23" s="4">
        <v>22</v>
      </c>
      <c r="B23" s="5" t="s">
        <v>54</v>
      </c>
      <c r="C23" s="5" t="s">
        <v>55</v>
      </c>
      <c r="D23" s="5" t="s">
        <v>78</v>
      </c>
      <c r="E23" s="5" t="s">
        <v>79</v>
      </c>
      <c r="F23" s="5">
        <v>11</v>
      </c>
      <c r="G23" s="5">
        <v>2023</v>
      </c>
      <c r="H23" s="5" t="s">
        <v>12</v>
      </c>
      <c r="I23" s="5">
        <v>1</v>
      </c>
      <c r="J23" s="26">
        <v>7538792</v>
      </c>
      <c r="K23" s="26">
        <v>829267</v>
      </c>
      <c r="L23" s="5">
        <v>0</v>
      </c>
      <c r="M23" s="5" t="s">
        <v>13</v>
      </c>
      <c r="N23" s="5" t="s">
        <v>71</v>
      </c>
      <c r="O23" s="5" t="s">
        <v>13</v>
      </c>
      <c r="P23" s="5" t="s">
        <v>15</v>
      </c>
      <c r="Q23" s="5" t="s">
        <v>80</v>
      </c>
      <c r="R23" s="5" t="s">
        <v>15</v>
      </c>
      <c r="S23" s="5"/>
    </row>
    <row r="24" spans="1:19" x14ac:dyDescent="0.25">
      <c r="A24" s="4">
        <v>23</v>
      </c>
      <c r="B24" s="5" t="s">
        <v>54</v>
      </c>
      <c r="C24" s="5" t="s">
        <v>55</v>
      </c>
      <c r="D24" s="5" t="s">
        <v>81</v>
      </c>
      <c r="E24" s="5" t="s">
        <v>47</v>
      </c>
      <c r="F24" s="5">
        <v>11</v>
      </c>
      <c r="G24" s="5">
        <v>2023</v>
      </c>
      <c r="H24" s="5" t="s">
        <v>12</v>
      </c>
      <c r="I24" s="5">
        <v>1</v>
      </c>
      <c r="J24" s="26">
        <v>108100994</v>
      </c>
      <c r="K24" s="26">
        <v>11891109</v>
      </c>
      <c r="L24" s="5">
        <v>0</v>
      </c>
      <c r="M24" s="5" t="s">
        <v>13</v>
      </c>
      <c r="N24" s="5" t="s">
        <v>71</v>
      </c>
      <c r="O24" s="5" t="s">
        <v>13</v>
      </c>
      <c r="P24" s="5" t="s">
        <v>15</v>
      </c>
      <c r="Q24" s="5" t="s">
        <v>82</v>
      </c>
      <c r="R24" s="5" t="s">
        <v>15</v>
      </c>
      <c r="S24" s="5"/>
    </row>
    <row r="25" spans="1:19" x14ac:dyDescent="0.25">
      <c r="A25" s="4">
        <v>24</v>
      </c>
      <c r="B25" s="5" t="s">
        <v>54</v>
      </c>
      <c r="C25" s="5" t="s">
        <v>55</v>
      </c>
      <c r="D25" s="5" t="s">
        <v>83</v>
      </c>
      <c r="E25" s="5" t="s">
        <v>47</v>
      </c>
      <c r="F25" s="5">
        <v>11</v>
      </c>
      <c r="G25" s="5">
        <v>2023</v>
      </c>
      <c r="H25" s="5" t="s">
        <v>12</v>
      </c>
      <c r="I25" s="5">
        <v>1</v>
      </c>
      <c r="J25" s="26">
        <v>4342918</v>
      </c>
      <c r="K25" s="26">
        <v>477721</v>
      </c>
      <c r="L25" s="5">
        <v>0</v>
      </c>
      <c r="M25" s="5" t="s">
        <v>13</v>
      </c>
      <c r="N25" s="5" t="s">
        <v>71</v>
      </c>
      <c r="O25" s="5" t="s">
        <v>13</v>
      </c>
      <c r="P25" s="5" t="s">
        <v>15</v>
      </c>
      <c r="Q25" s="5" t="s">
        <v>84</v>
      </c>
      <c r="R25" s="5" t="s">
        <v>15</v>
      </c>
      <c r="S25" s="5"/>
    </row>
    <row r="26" spans="1:19" x14ac:dyDescent="0.25">
      <c r="A26" s="4">
        <v>25</v>
      </c>
      <c r="B26" s="5" t="s">
        <v>54</v>
      </c>
      <c r="C26" s="5" t="s">
        <v>55</v>
      </c>
      <c r="D26" s="5" t="s">
        <v>85</v>
      </c>
      <c r="E26" s="5" t="s">
        <v>86</v>
      </c>
      <c r="F26" s="5">
        <v>11</v>
      </c>
      <c r="G26" s="5">
        <v>2023</v>
      </c>
      <c r="H26" s="5" t="s">
        <v>12</v>
      </c>
      <c r="I26" s="5">
        <v>1</v>
      </c>
      <c r="J26" s="26">
        <v>4997945</v>
      </c>
      <c r="K26" s="26">
        <v>549774</v>
      </c>
      <c r="L26" s="5">
        <v>0</v>
      </c>
      <c r="M26" s="5" t="s">
        <v>13</v>
      </c>
      <c r="N26" s="5" t="s">
        <v>71</v>
      </c>
      <c r="O26" s="5" t="s">
        <v>13</v>
      </c>
      <c r="P26" s="5" t="s">
        <v>15</v>
      </c>
      <c r="Q26" s="5" t="s">
        <v>87</v>
      </c>
      <c r="R26" s="5" t="s">
        <v>15</v>
      </c>
      <c r="S26" s="5"/>
    </row>
    <row r="27" spans="1:19" x14ac:dyDescent="0.25">
      <c r="A27" s="4">
        <v>26</v>
      </c>
      <c r="B27" s="5" t="s">
        <v>54</v>
      </c>
      <c r="C27" s="5" t="s">
        <v>55</v>
      </c>
      <c r="D27" s="5" t="s">
        <v>88</v>
      </c>
      <c r="E27" s="5" t="s">
        <v>89</v>
      </c>
      <c r="F27" s="5">
        <v>11</v>
      </c>
      <c r="G27" s="5">
        <v>2023</v>
      </c>
      <c r="H27" s="5" t="s">
        <v>12</v>
      </c>
      <c r="I27" s="5">
        <v>1</v>
      </c>
      <c r="J27" s="26">
        <v>9421621</v>
      </c>
      <c r="K27" s="26">
        <v>1036378</v>
      </c>
      <c r="L27" s="5">
        <v>0</v>
      </c>
      <c r="M27" s="5" t="s">
        <v>13</v>
      </c>
      <c r="N27" s="5" t="s">
        <v>71</v>
      </c>
      <c r="O27" s="5" t="s">
        <v>13</v>
      </c>
      <c r="P27" s="5" t="s">
        <v>15</v>
      </c>
      <c r="Q27" s="5" t="s">
        <v>90</v>
      </c>
      <c r="R27" s="5" t="s">
        <v>15</v>
      </c>
      <c r="S27" s="5"/>
    </row>
    <row r="28" spans="1:19" x14ac:dyDescent="0.25">
      <c r="A28" s="4">
        <v>27</v>
      </c>
      <c r="B28" s="5" t="s">
        <v>54</v>
      </c>
      <c r="C28" s="5" t="s">
        <v>55</v>
      </c>
      <c r="D28" s="5" t="s">
        <v>91</v>
      </c>
      <c r="E28" s="5" t="s">
        <v>50</v>
      </c>
      <c r="F28" s="5">
        <v>11</v>
      </c>
      <c r="G28" s="5">
        <v>2023</v>
      </c>
      <c r="H28" s="5" t="s">
        <v>12</v>
      </c>
      <c r="I28" s="5">
        <v>1</v>
      </c>
      <c r="J28" s="26">
        <v>21474118</v>
      </c>
      <c r="K28" s="26">
        <v>2362153</v>
      </c>
      <c r="L28" s="5">
        <v>0</v>
      </c>
      <c r="M28" s="5" t="s">
        <v>13</v>
      </c>
      <c r="N28" s="5" t="s">
        <v>92</v>
      </c>
      <c r="O28" s="5" t="s">
        <v>13</v>
      </c>
      <c r="P28" s="5" t="s">
        <v>15</v>
      </c>
      <c r="Q28" s="5" t="s">
        <v>93</v>
      </c>
      <c r="R28" s="5" t="s">
        <v>15</v>
      </c>
      <c r="S28" s="5"/>
    </row>
    <row r="29" spans="1:19" x14ac:dyDescent="0.25">
      <c r="A29" s="4">
        <v>28</v>
      </c>
      <c r="B29" s="5" t="s">
        <v>54</v>
      </c>
      <c r="C29" s="5" t="s">
        <v>55</v>
      </c>
      <c r="D29" s="5" t="s">
        <v>94</v>
      </c>
      <c r="E29" s="5" t="s">
        <v>50</v>
      </c>
      <c r="F29" s="5">
        <v>11</v>
      </c>
      <c r="G29" s="5">
        <v>2023</v>
      </c>
      <c r="H29" s="5" t="s">
        <v>12</v>
      </c>
      <c r="I29" s="5">
        <v>1</v>
      </c>
      <c r="J29" s="26">
        <v>11042439</v>
      </c>
      <c r="K29" s="26">
        <v>1214668</v>
      </c>
      <c r="L29" s="5">
        <v>0</v>
      </c>
      <c r="M29" s="5" t="s">
        <v>13</v>
      </c>
      <c r="N29" s="5" t="s">
        <v>92</v>
      </c>
      <c r="O29" s="5" t="s">
        <v>13</v>
      </c>
      <c r="P29" s="5" t="s">
        <v>15</v>
      </c>
      <c r="Q29" s="5" t="s">
        <v>95</v>
      </c>
      <c r="R29" s="5" t="s">
        <v>15</v>
      </c>
      <c r="S29" s="5"/>
    </row>
    <row r="30" spans="1:19" x14ac:dyDescent="0.25">
      <c r="A30" s="4">
        <v>29</v>
      </c>
      <c r="B30" s="5" t="s">
        <v>54</v>
      </c>
      <c r="C30" s="5" t="s">
        <v>55</v>
      </c>
      <c r="D30" s="5" t="s">
        <v>96</v>
      </c>
      <c r="E30" s="5" t="s">
        <v>50</v>
      </c>
      <c r="F30" s="5">
        <v>11</v>
      </c>
      <c r="G30" s="5">
        <v>2023</v>
      </c>
      <c r="H30" s="5" t="s">
        <v>12</v>
      </c>
      <c r="I30" s="5">
        <v>1</v>
      </c>
      <c r="J30" s="26">
        <v>5473214</v>
      </c>
      <c r="K30" s="26">
        <v>602053</v>
      </c>
      <c r="L30" s="5">
        <v>0</v>
      </c>
      <c r="M30" s="5" t="s">
        <v>13</v>
      </c>
      <c r="N30" s="5" t="s">
        <v>92</v>
      </c>
      <c r="O30" s="5" t="s">
        <v>13</v>
      </c>
      <c r="P30" s="5" t="s">
        <v>15</v>
      </c>
      <c r="Q30" s="5" t="s">
        <v>97</v>
      </c>
      <c r="R30" s="5" t="s">
        <v>15</v>
      </c>
      <c r="S30" s="5"/>
    </row>
    <row r="31" spans="1:19" x14ac:dyDescent="0.25">
      <c r="A31" s="4">
        <v>30</v>
      </c>
      <c r="B31" s="5" t="s">
        <v>54</v>
      </c>
      <c r="C31" s="5" t="s">
        <v>55</v>
      </c>
      <c r="D31" s="5" t="s">
        <v>98</v>
      </c>
      <c r="E31" s="5" t="s">
        <v>99</v>
      </c>
      <c r="F31" s="5">
        <v>11</v>
      </c>
      <c r="G31" s="5">
        <v>2023</v>
      </c>
      <c r="H31" s="5" t="s">
        <v>12</v>
      </c>
      <c r="I31" s="5">
        <v>1</v>
      </c>
      <c r="J31" s="26">
        <v>1978241</v>
      </c>
      <c r="K31" s="26">
        <v>217606</v>
      </c>
      <c r="L31" s="5">
        <v>0</v>
      </c>
      <c r="M31" s="5" t="s">
        <v>13</v>
      </c>
      <c r="N31" s="5" t="s">
        <v>92</v>
      </c>
      <c r="O31" s="5" t="s">
        <v>13</v>
      </c>
      <c r="P31" s="5" t="s">
        <v>15</v>
      </c>
      <c r="Q31" s="5" t="s">
        <v>100</v>
      </c>
      <c r="R31" s="5" t="s">
        <v>15</v>
      </c>
      <c r="S31" s="5"/>
    </row>
    <row r="32" spans="1:19" x14ac:dyDescent="0.25">
      <c r="A32" s="4">
        <v>31</v>
      </c>
      <c r="B32" s="5" t="s">
        <v>54</v>
      </c>
      <c r="C32" s="5" t="s">
        <v>55</v>
      </c>
      <c r="D32" s="5" t="s">
        <v>101</v>
      </c>
      <c r="E32" s="5" t="s">
        <v>22</v>
      </c>
      <c r="F32" s="5">
        <v>11</v>
      </c>
      <c r="G32" s="5">
        <v>2023</v>
      </c>
      <c r="H32" s="5" t="s">
        <v>12</v>
      </c>
      <c r="I32" s="5">
        <v>1</v>
      </c>
      <c r="J32" s="26">
        <v>42990410</v>
      </c>
      <c r="K32" s="26">
        <v>4728945</v>
      </c>
      <c r="L32" s="5">
        <v>0</v>
      </c>
      <c r="M32" s="5" t="s">
        <v>13</v>
      </c>
      <c r="N32" s="5" t="s">
        <v>92</v>
      </c>
      <c r="O32" s="5" t="s">
        <v>13</v>
      </c>
      <c r="P32" s="5" t="s">
        <v>15</v>
      </c>
      <c r="Q32" s="5" t="s">
        <v>102</v>
      </c>
      <c r="R32" s="5" t="s">
        <v>15</v>
      </c>
      <c r="S32" s="5"/>
    </row>
    <row r="33" spans="1:19" x14ac:dyDescent="0.25">
      <c r="A33" s="4">
        <v>32</v>
      </c>
      <c r="B33" s="5" t="s">
        <v>54</v>
      </c>
      <c r="C33" s="5" t="s">
        <v>55</v>
      </c>
      <c r="D33" s="5" t="s">
        <v>103</v>
      </c>
      <c r="E33" s="5" t="s">
        <v>104</v>
      </c>
      <c r="F33" s="5">
        <v>11</v>
      </c>
      <c r="G33" s="5">
        <v>2023</v>
      </c>
      <c r="H33" s="5" t="s">
        <v>12</v>
      </c>
      <c r="I33" s="5">
        <v>1</v>
      </c>
      <c r="J33" s="26">
        <v>4199351</v>
      </c>
      <c r="K33" s="26">
        <v>461928</v>
      </c>
      <c r="L33" s="5">
        <v>0</v>
      </c>
      <c r="M33" s="5" t="s">
        <v>13</v>
      </c>
      <c r="N33" s="5" t="s">
        <v>92</v>
      </c>
      <c r="O33" s="5" t="s">
        <v>13</v>
      </c>
      <c r="P33" s="5" t="s">
        <v>15</v>
      </c>
      <c r="Q33" s="5" t="s">
        <v>105</v>
      </c>
      <c r="R33" s="5" t="s">
        <v>15</v>
      </c>
      <c r="S33" s="5"/>
    </row>
    <row r="34" spans="1:19" x14ac:dyDescent="0.25">
      <c r="A34" s="4">
        <v>33</v>
      </c>
      <c r="B34" s="5" t="s">
        <v>54</v>
      </c>
      <c r="C34" s="5" t="s">
        <v>55</v>
      </c>
      <c r="D34" s="5" t="s">
        <v>106</v>
      </c>
      <c r="E34" s="5" t="s">
        <v>33</v>
      </c>
      <c r="F34" s="5">
        <v>11</v>
      </c>
      <c r="G34" s="5">
        <v>2023</v>
      </c>
      <c r="H34" s="5" t="s">
        <v>12</v>
      </c>
      <c r="I34" s="5">
        <v>1</v>
      </c>
      <c r="J34" s="26">
        <v>6752162</v>
      </c>
      <c r="K34" s="26">
        <v>742737</v>
      </c>
      <c r="L34" s="5">
        <v>0</v>
      </c>
      <c r="M34" s="5" t="s">
        <v>13</v>
      </c>
      <c r="N34" s="5" t="s">
        <v>92</v>
      </c>
      <c r="O34" s="5" t="s">
        <v>13</v>
      </c>
      <c r="P34" s="5" t="s">
        <v>15</v>
      </c>
      <c r="Q34" s="5" t="s">
        <v>107</v>
      </c>
      <c r="R34" s="5" t="s">
        <v>15</v>
      </c>
      <c r="S34" s="5"/>
    </row>
    <row r="35" spans="1:19" x14ac:dyDescent="0.25">
      <c r="A35" s="4">
        <v>34</v>
      </c>
      <c r="B35" s="5" t="s">
        <v>54</v>
      </c>
      <c r="C35" s="5" t="s">
        <v>55</v>
      </c>
      <c r="D35" s="5" t="s">
        <v>108</v>
      </c>
      <c r="E35" s="5" t="s">
        <v>109</v>
      </c>
      <c r="F35" s="5">
        <v>11</v>
      </c>
      <c r="G35" s="5">
        <v>2023</v>
      </c>
      <c r="H35" s="5" t="s">
        <v>12</v>
      </c>
      <c r="I35" s="5">
        <v>1</v>
      </c>
      <c r="J35" s="26">
        <v>23153560</v>
      </c>
      <c r="K35" s="26">
        <v>2546891</v>
      </c>
      <c r="L35" s="5">
        <v>0</v>
      </c>
      <c r="M35" s="5" t="s">
        <v>13</v>
      </c>
      <c r="N35" s="5" t="s">
        <v>110</v>
      </c>
      <c r="O35" s="5" t="s">
        <v>13</v>
      </c>
      <c r="P35" s="5" t="s">
        <v>15</v>
      </c>
      <c r="Q35" s="5" t="s">
        <v>111</v>
      </c>
      <c r="R35" s="5" t="s">
        <v>15</v>
      </c>
      <c r="S35" s="5"/>
    </row>
    <row r="36" spans="1:19" x14ac:dyDescent="0.25">
      <c r="A36" s="4">
        <v>35</v>
      </c>
      <c r="B36" s="5" t="s">
        <v>54</v>
      </c>
      <c r="C36" s="5" t="s">
        <v>55</v>
      </c>
      <c r="D36" s="5" t="s">
        <v>112</v>
      </c>
      <c r="E36" s="5" t="s">
        <v>113</v>
      </c>
      <c r="F36" s="5">
        <v>11</v>
      </c>
      <c r="G36" s="5">
        <v>2023</v>
      </c>
      <c r="H36" s="5" t="s">
        <v>12</v>
      </c>
      <c r="I36" s="5">
        <v>1</v>
      </c>
      <c r="J36" s="26">
        <v>1820018</v>
      </c>
      <c r="K36" s="26">
        <v>200201</v>
      </c>
      <c r="L36" s="5">
        <v>0</v>
      </c>
      <c r="M36" s="5" t="s">
        <v>13</v>
      </c>
      <c r="N36" s="5" t="s">
        <v>110</v>
      </c>
      <c r="O36" s="5" t="s">
        <v>13</v>
      </c>
      <c r="P36" s="5" t="s">
        <v>15</v>
      </c>
      <c r="Q36" s="5" t="s">
        <v>114</v>
      </c>
      <c r="R36" s="5" t="s">
        <v>15</v>
      </c>
      <c r="S36" s="5"/>
    </row>
    <row r="37" spans="1:19" x14ac:dyDescent="0.25">
      <c r="A37" s="4">
        <v>36</v>
      </c>
      <c r="B37" s="5" t="s">
        <v>54</v>
      </c>
      <c r="C37" s="5" t="s">
        <v>55</v>
      </c>
      <c r="D37" s="5" t="s">
        <v>115</v>
      </c>
      <c r="E37" s="5" t="s">
        <v>116</v>
      </c>
      <c r="F37" s="5">
        <v>11</v>
      </c>
      <c r="G37" s="5">
        <v>2023</v>
      </c>
      <c r="H37" s="5" t="s">
        <v>12</v>
      </c>
      <c r="I37" s="5">
        <v>1</v>
      </c>
      <c r="J37" s="26">
        <v>5024864</v>
      </c>
      <c r="K37" s="26">
        <v>552735</v>
      </c>
      <c r="L37" s="5">
        <v>0</v>
      </c>
      <c r="M37" s="5" t="s">
        <v>13</v>
      </c>
      <c r="N37" s="5" t="s">
        <v>110</v>
      </c>
      <c r="O37" s="5" t="s">
        <v>13</v>
      </c>
      <c r="P37" s="5" t="s">
        <v>15</v>
      </c>
      <c r="Q37" s="5" t="s">
        <v>117</v>
      </c>
      <c r="R37" s="5" t="s">
        <v>15</v>
      </c>
      <c r="S37" s="5"/>
    </row>
    <row r="38" spans="1:19" x14ac:dyDescent="0.25">
      <c r="A38" s="4">
        <v>37</v>
      </c>
      <c r="B38" s="5" t="s">
        <v>54</v>
      </c>
      <c r="C38" s="5" t="s">
        <v>55</v>
      </c>
      <c r="D38" s="5" t="s">
        <v>118</v>
      </c>
      <c r="E38" s="5" t="s">
        <v>119</v>
      </c>
      <c r="F38" s="5">
        <v>11</v>
      </c>
      <c r="G38" s="5">
        <v>2023</v>
      </c>
      <c r="H38" s="5" t="s">
        <v>12</v>
      </c>
      <c r="I38" s="5">
        <v>1</v>
      </c>
      <c r="J38" s="26">
        <v>2584216</v>
      </c>
      <c r="K38" s="26">
        <v>284263</v>
      </c>
      <c r="L38" s="5">
        <v>0</v>
      </c>
      <c r="M38" s="5" t="s">
        <v>13</v>
      </c>
      <c r="N38" s="5" t="s">
        <v>110</v>
      </c>
      <c r="O38" s="5" t="s">
        <v>13</v>
      </c>
      <c r="P38" s="5" t="s">
        <v>15</v>
      </c>
      <c r="Q38" s="5" t="s">
        <v>120</v>
      </c>
      <c r="R38" s="5" t="s">
        <v>15</v>
      </c>
      <c r="S38" s="5"/>
    </row>
    <row r="39" spans="1:19" x14ac:dyDescent="0.25">
      <c r="A39" s="4">
        <v>38</v>
      </c>
      <c r="B39" s="5" t="s">
        <v>54</v>
      </c>
      <c r="C39" s="5" t="s">
        <v>55</v>
      </c>
      <c r="D39" s="5" t="s">
        <v>121</v>
      </c>
      <c r="E39" s="5" t="s">
        <v>122</v>
      </c>
      <c r="F39" s="5">
        <v>11</v>
      </c>
      <c r="G39" s="5">
        <v>2023</v>
      </c>
      <c r="H39" s="5" t="s">
        <v>12</v>
      </c>
      <c r="I39" s="5">
        <v>1</v>
      </c>
      <c r="J39" s="26">
        <v>5231243</v>
      </c>
      <c r="K39" s="26">
        <v>575436</v>
      </c>
      <c r="L39" s="5">
        <v>0</v>
      </c>
      <c r="M39" s="5" t="s">
        <v>13</v>
      </c>
      <c r="N39" s="5" t="s">
        <v>110</v>
      </c>
      <c r="O39" s="5" t="s">
        <v>13</v>
      </c>
      <c r="P39" s="5" t="s">
        <v>15</v>
      </c>
      <c r="Q39" s="5" t="s">
        <v>123</v>
      </c>
      <c r="R39" s="5" t="s">
        <v>15</v>
      </c>
      <c r="S39" s="5"/>
    </row>
    <row r="40" spans="1:19" x14ac:dyDescent="0.25">
      <c r="A40" s="4">
        <v>39</v>
      </c>
      <c r="B40" s="5" t="s">
        <v>54</v>
      </c>
      <c r="C40" s="5" t="s">
        <v>55</v>
      </c>
      <c r="D40" s="5" t="s">
        <v>124</v>
      </c>
      <c r="E40" s="5" t="s">
        <v>122</v>
      </c>
      <c r="F40" s="5">
        <v>11</v>
      </c>
      <c r="G40" s="5">
        <v>2023</v>
      </c>
      <c r="H40" s="5" t="s">
        <v>12</v>
      </c>
      <c r="I40" s="5">
        <v>1</v>
      </c>
      <c r="J40" s="26">
        <v>13528551</v>
      </c>
      <c r="K40" s="26">
        <v>1488140</v>
      </c>
      <c r="L40" s="5">
        <v>0</v>
      </c>
      <c r="M40" s="5" t="s">
        <v>13</v>
      </c>
      <c r="N40" s="5" t="s">
        <v>110</v>
      </c>
      <c r="O40" s="5" t="s">
        <v>13</v>
      </c>
      <c r="P40" s="5" t="s">
        <v>15</v>
      </c>
      <c r="Q40" s="5" t="s">
        <v>125</v>
      </c>
      <c r="R40" s="5" t="s">
        <v>15</v>
      </c>
      <c r="S40" s="5"/>
    </row>
    <row r="41" spans="1:19" x14ac:dyDescent="0.25">
      <c r="A41" s="4">
        <v>40</v>
      </c>
      <c r="B41" s="5" t="s">
        <v>54</v>
      </c>
      <c r="C41" s="5" t="s">
        <v>55</v>
      </c>
      <c r="D41" s="5" t="s">
        <v>126</v>
      </c>
      <c r="E41" s="5" t="s">
        <v>127</v>
      </c>
      <c r="F41" s="5">
        <v>11</v>
      </c>
      <c r="G41" s="5">
        <v>2023</v>
      </c>
      <c r="H41" s="5" t="s">
        <v>12</v>
      </c>
      <c r="I41" s="5">
        <v>1</v>
      </c>
      <c r="J41" s="26">
        <v>24727718</v>
      </c>
      <c r="K41" s="26">
        <v>2720049</v>
      </c>
      <c r="L41" s="5">
        <v>0</v>
      </c>
      <c r="M41" s="5" t="s">
        <v>13</v>
      </c>
      <c r="N41" s="5" t="s">
        <v>110</v>
      </c>
      <c r="O41" s="5" t="s">
        <v>13</v>
      </c>
      <c r="P41" s="5" t="s">
        <v>15</v>
      </c>
      <c r="Q41" s="5" t="s">
        <v>128</v>
      </c>
      <c r="R41" s="5" t="s">
        <v>15</v>
      </c>
      <c r="S41" s="5"/>
    </row>
    <row r="42" spans="1:19" x14ac:dyDescent="0.25">
      <c r="A42" s="4">
        <v>41</v>
      </c>
      <c r="B42" s="5" t="s">
        <v>54</v>
      </c>
      <c r="C42" s="5" t="s">
        <v>55</v>
      </c>
      <c r="D42" s="5" t="s">
        <v>129</v>
      </c>
      <c r="E42" s="5" t="s">
        <v>130</v>
      </c>
      <c r="F42" s="5">
        <v>11</v>
      </c>
      <c r="G42" s="5">
        <v>2023</v>
      </c>
      <c r="H42" s="5" t="s">
        <v>12</v>
      </c>
      <c r="I42" s="5">
        <v>1</v>
      </c>
      <c r="J42" s="26">
        <v>3140540</v>
      </c>
      <c r="K42" s="26">
        <v>345459</v>
      </c>
      <c r="L42" s="5">
        <v>0</v>
      </c>
      <c r="M42" s="5" t="s">
        <v>13</v>
      </c>
      <c r="N42" s="5" t="s">
        <v>131</v>
      </c>
      <c r="O42" s="5" t="s">
        <v>13</v>
      </c>
      <c r="P42" s="5" t="s">
        <v>15</v>
      </c>
      <c r="Q42" s="5" t="s">
        <v>132</v>
      </c>
      <c r="R42" s="5" t="s">
        <v>15</v>
      </c>
      <c r="S42" s="5"/>
    </row>
    <row r="43" spans="1:19" x14ac:dyDescent="0.25">
      <c r="A43" s="4">
        <v>42</v>
      </c>
      <c r="B43" s="5" t="s">
        <v>54</v>
      </c>
      <c r="C43" s="5" t="s">
        <v>55</v>
      </c>
      <c r="D43" s="5" t="s">
        <v>133</v>
      </c>
      <c r="E43" s="5" t="s">
        <v>130</v>
      </c>
      <c r="F43" s="5">
        <v>11</v>
      </c>
      <c r="G43" s="5">
        <v>2023</v>
      </c>
      <c r="H43" s="5" t="s">
        <v>12</v>
      </c>
      <c r="I43" s="5">
        <v>1</v>
      </c>
      <c r="J43" s="26">
        <v>1570270</v>
      </c>
      <c r="K43" s="26">
        <v>172729</v>
      </c>
      <c r="L43" s="5">
        <v>0</v>
      </c>
      <c r="M43" s="5" t="s">
        <v>13</v>
      </c>
      <c r="N43" s="5" t="s">
        <v>131</v>
      </c>
      <c r="O43" s="5" t="s">
        <v>13</v>
      </c>
      <c r="P43" s="5" t="s">
        <v>15</v>
      </c>
      <c r="Q43" s="5" t="s">
        <v>134</v>
      </c>
      <c r="R43" s="5" t="s">
        <v>15</v>
      </c>
      <c r="S43" s="5"/>
    </row>
    <row r="44" spans="1:19" x14ac:dyDescent="0.25">
      <c r="A44" s="4">
        <v>43</v>
      </c>
      <c r="B44" s="5" t="s">
        <v>54</v>
      </c>
      <c r="C44" s="5" t="s">
        <v>55</v>
      </c>
      <c r="D44" s="5" t="s">
        <v>135</v>
      </c>
      <c r="E44" s="5" t="s">
        <v>136</v>
      </c>
      <c r="F44" s="5">
        <v>11</v>
      </c>
      <c r="G44" s="5">
        <v>2023</v>
      </c>
      <c r="H44" s="5" t="s">
        <v>12</v>
      </c>
      <c r="I44" s="5">
        <v>1</v>
      </c>
      <c r="J44" s="26">
        <v>14518270</v>
      </c>
      <c r="K44" s="26">
        <v>1597009</v>
      </c>
      <c r="L44" s="5">
        <v>0</v>
      </c>
      <c r="M44" s="5" t="s">
        <v>13</v>
      </c>
      <c r="N44" s="5" t="s">
        <v>131</v>
      </c>
      <c r="O44" s="5" t="s">
        <v>13</v>
      </c>
      <c r="P44" s="5" t="s">
        <v>15</v>
      </c>
      <c r="Q44" s="5" t="s">
        <v>137</v>
      </c>
      <c r="R44" s="5" t="s">
        <v>15</v>
      </c>
      <c r="S44" s="5"/>
    </row>
    <row r="45" spans="1:19" x14ac:dyDescent="0.25">
      <c r="A45" s="4">
        <v>44</v>
      </c>
      <c r="B45" s="5" t="s">
        <v>54</v>
      </c>
      <c r="C45" s="5" t="s">
        <v>55</v>
      </c>
      <c r="D45" s="5" t="s">
        <v>138</v>
      </c>
      <c r="E45" s="5" t="s">
        <v>25</v>
      </c>
      <c r="F45" s="5">
        <v>11</v>
      </c>
      <c r="G45" s="5">
        <v>2023</v>
      </c>
      <c r="H45" s="5" t="s">
        <v>12</v>
      </c>
      <c r="I45" s="5">
        <v>1</v>
      </c>
      <c r="J45" s="26">
        <v>17658511</v>
      </c>
      <c r="K45" s="26">
        <v>1942436</v>
      </c>
      <c r="L45" s="5">
        <v>0</v>
      </c>
      <c r="M45" s="5" t="s">
        <v>13</v>
      </c>
      <c r="N45" s="5" t="s">
        <v>131</v>
      </c>
      <c r="O45" s="5" t="s">
        <v>13</v>
      </c>
      <c r="P45" s="5" t="s">
        <v>15</v>
      </c>
      <c r="Q45" s="5" t="s">
        <v>139</v>
      </c>
      <c r="R45" s="5" t="s">
        <v>15</v>
      </c>
      <c r="S45" s="5"/>
    </row>
    <row r="46" spans="1:19" x14ac:dyDescent="0.25">
      <c r="A46" s="4">
        <v>45</v>
      </c>
      <c r="B46" s="5" t="s">
        <v>54</v>
      </c>
      <c r="C46" s="5" t="s">
        <v>55</v>
      </c>
      <c r="D46" s="5" t="s">
        <v>140</v>
      </c>
      <c r="E46" s="5" t="s">
        <v>25</v>
      </c>
      <c r="F46" s="5">
        <v>11</v>
      </c>
      <c r="G46" s="5">
        <v>2023</v>
      </c>
      <c r="H46" s="5" t="s">
        <v>12</v>
      </c>
      <c r="I46" s="5">
        <v>1</v>
      </c>
      <c r="J46" s="26">
        <v>59033189</v>
      </c>
      <c r="K46" s="26">
        <v>6493650</v>
      </c>
      <c r="L46" s="5">
        <v>0</v>
      </c>
      <c r="M46" s="5" t="s">
        <v>13</v>
      </c>
      <c r="N46" s="5" t="s">
        <v>131</v>
      </c>
      <c r="O46" s="5" t="s">
        <v>13</v>
      </c>
      <c r="P46" s="5" t="s">
        <v>15</v>
      </c>
      <c r="Q46" s="5" t="s">
        <v>141</v>
      </c>
      <c r="R46" s="5" t="s">
        <v>15</v>
      </c>
      <c r="S46" s="5"/>
    </row>
    <row r="47" spans="1:19" x14ac:dyDescent="0.25">
      <c r="A47" s="4">
        <v>46</v>
      </c>
      <c r="B47" s="5" t="s">
        <v>54</v>
      </c>
      <c r="C47" s="5" t="s">
        <v>55</v>
      </c>
      <c r="D47" s="5" t="s">
        <v>142</v>
      </c>
      <c r="E47" s="5" t="s">
        <v>25</v>
      </c>
      <c r="F47" s="5">
        <v>11</v>
      </c>
      <c r="G47" s="5">
        <v>2023</v>
      </c>
      <c r="H47" s="5" t="s">
        <v>12</v>
      </c>
      <c r="I47" s="5">
        <v>1</v>
      </c>
      <c r="J47" s="26">
        <v>8075675</v>
      </c>
      <c r="K47" s="26">
        <v>888324</v>
      </c>
      <c r="L47" s="5">
        <v>0</v>
      </c>
      <c r="M47" s="5" t="s">
        <v>13</v>
      </c>
      <c r="N47" s="5" t="s">
        <v>131</v>
      </c>
      <c r="O47" s="5" t="s">
        <v>13</v>
      </c>
      <c r="P47" s="5" t="s">
        <v>15</v>
      </c>
      <c r="Q47" s="5" t="s">
        <v>143</v>
      </c>
      <c r="R47" s="5" t="s">
        <v>15</v>
      </c>
      <c r="S47" s="5"/>
    </row>
    <row r="48" spans="1:19" x14ac:dyDescent="0.25">
      <c r="A48" s="4">
        <v>47</v>
      </c>
      <c r="B48" s="5" t="s">
        <v>54</v>
      </c>
      <c r="C48" s="5" t="s">
        <v>55</v>
      </c>
      <c r="D48" s="5" t="s">
        <v>144</v>
      </c>
      <c r="E48" s="5" t="s">
        <v>145</v>
      </c>
      <c r="F48" s="5">
        <v>11</v>
      </c>
      <c r="G48" s="5">
        <v>2023</v>
      </c>
      <c r="H48" s="5" t="s">
        <v>12</v>
      </c>
      <c r="I48" s="5">
        <v>1</v>
      </c>
      <c r="J48" s="26">
        <v>3203351</v>
      </c>
      <c r="K48" s="26">
        <v>352368</v>
      </c>
      <c r="L48" s="5">
        <v>0</v>
      </c>
      <c r="M48" s="5" t="s">
        <v>13</v>
      </c>
      <c r="N48" s="5" t="s">
        <v>131</v>
      </c>
      <c r="O48" s="5" t="s">
        <v>13</v>
      </c>
      <c r="P48" s="5" t="s">
        <v>15</v>
      </c>
      <c r="Q48" s="5" t="s">
        <v>146</v>
      </c>
      <c r="R48" s="5" t="s">
        <v>15</v>
      </c>
      <c r="S48" s="5"/>
    </row>
    <row r="49" spans="1:19" x14ac:dyDescent="0.25">
      <c r="A49" s="4">
        <v>48</v>
      </c>
      <c r="B49" s="5" t="s">
        <v>8</v>
      </c>
      <c r="C49" s="5" t="s">
        <v>9</v>
      </c>
      <c r="D49" s="5" t="s">
        <v>147</v>
      </c>
      <c r="E49" s="5" t="s">
        <v>148</v>
      </c>
      <c r="F49" s="5">
        <v>11</v>
      </c>
      <c r="G49" s="5">
        <v>2023</v>
      </c>
      <c r="H49" s="5" t="s">
        <v>12</v>
      </c>
      <c r="I49" s="5">
        <v>1</v>
      </c>
      <c r="J49" s="26">
        <v>17153982</v>
      </c>
      <c r="K49" s="26">
        <v>1886938</v>
      </c>
      <c r="L49" s="5">
        <v>0</v>
      </c>
      <c r="M49" s="5" t="s">
        <v>13</v>
      </c>
      <c r="N49" s="5" t="s">
        <v>131</v>
      </c>
      <c r="O49" s="5" t="s">
        <v>13</v>
      </c>
      <c r="P49" s="5" t="s">
        <v>15</v>
      </c>
      <c r="Q49" s="5" t="s">
        <v>149</v>
      </c>
      <c r="R49" s="5" t="s">
        <v>15</v>
      </c>
      <c r="S49" s="5"/>
    </row>
    <row r="50" spans="1:19" x14ac:dyDescent="0.25">
      <c r="A50" s="4">
        <v>49</v>
      </c>
      <c r="B50" s="5" t="s">
        <v>150</v>
      </c>
      <c r="C50" s="5" t="s">
        <v>151</v>
      </c>
      <c r="D50" s="5" t="s">
        <v>152</v>
      </c>
      <c r="E50" s="5" t="s">
        <v>104</v>
      </c>
      <c r="F50" s="5">
        <v>11</v>
      </c>
      <c r="G50" s="5">
        <v>2023</v>
      </c>
      <c r="H50" s="5" t="s">
        <v>12</v>
      </c>
      <c r="I50" s="5">
        <v>1</v>
      </c>
      <c r="J50" s="26">
        <v>25945963</v>
      </c>
      <c r="K50" s="26">
        <v>2854055</v>
      </c>
      <c r="L50" s="5">
        <v>0</v>
      </c>
      <c r="M50" s="5" t="s">
        <v>13</v>
      </c>
      <c r="N50" s="5" t="s">
        <v>153</v>
      </c>
      <c r="O50" s="5" t="s">
        <v>13</v>
      </c>
      <c r="P50" s="5" t="s">
        <v>15</v>
      </c>
      <c r="Q50" s="5" t="s">
        <v>154</v>
      </c>
      <c r="R50" s="5" t="s">
        <v>15</v>
      </c>
      <c r="S50" s="5"/>
    </row>
    <row r="51" spans="1:19" x14ac:dyDescent="0.25">
      <c r="A51" s="4">
        <v>50</v>
      </c>
      <c r="B51" s="5" t="s">
        <v>155</v>
      </c>
      <c r="C51" s="5" t="s">
        <v>156</v>
      </c>
      <c r="D51" s="5" t="s">
        <v>157</v>
      </c>
      <c r="E51" s="5" t="s">
        <v>30</v>
      </c>
      <c r="F51" s="5">
        <v>11</v>
      </c>
      <c r="G51" s="5">
        <v>2023</v>
      </c>
      <c r="H51" s="5" t="s">
        <v>12</v>
      </c>
      <c r="I51" s="5">
        <v>1</v>
      </c>
      <c r="J51" s="26">
        <v>840236</v>
      </c>
      <c r="K51" s="26">
        <v>92426</v>
      </c>
      <c r="L51" s="5">
        <v>0</v>
      </c>
      <c r="M51" s="5" t="s">
        <v>13</v>
      </c>
      <c r="N51" s="5" t="s">
        <v>153</v>
      </c>
      <c r="O51" s="5" t="s">
        <v>13</v>
      </c>
      <c r="P51" s="5" t="s">
        <v>15</v>
      </c>
      <c r="Q51" s="5" t="s">
        <v>158</v>
      </c>
      <c r="R51" s="5" t="s">
        <v>15</v>
      </c>
      <c r="S51" s="5"/>
    </row>
    <row r="52" spans="1:19" x14ac:dyDescent="0.25">
      <c r="A52" s="4">
        <v>51</v>
      </c>
      <c r="B52" s="5" t="s">
        <v>155</v>
      </c>
      <c r="C52" s="5" t="s">
        <v>156</v>
      </c>
      <c r="D52" s="5" t="s">
        <v>159</v>
      </c>
      <c r="E52" s="5" t="s">
        <v>30</v>
      </c>
      <c r="F52" s="5">
        <v>11</v>
      </c>
      <c r="G52" s="5">
        <v>2023</v>
      </c>
      <c r="H52" s="5" t="s">
        <v>12</v>
      </c>
      <c r="I52" s="5">
        <v>1</v>
      </c>
      <c r="J52" s="26">
        <v>3865986</v>
      </c>
      <c r="K52" s="26">
        <v>425258</v>
      </c>
      <c r="L52" s="5">
        <v>0</v>
      </c>
      <c r="M52" s="5" t="s">
        <v>13</v>
      </c>
      <c r="N52" s="5" t="s">
        <v>153</v>
      </c>
      <c r="O52" s="5" t="s">
        <v>13</v>
      </c>
      <c r="P52" s="5" t="s">
        <v>15</v>
      </c>
      <c r="Q52" s="5" t="s">
        <v>160</v>
      </c>
      <c r="R52" s="5" t="s">
        <v>15</v>
      </c>
      <c r="S52" s="5"/>
    </row>
    <row r="53" spans="1:19" x14ac:dyDescent="0.25">
      <c r="A53" s="4">
        <v>52</v>
      </c>
      <c r="B53" s="5" t="s">
        <v>155</v>
      </c>
      <c r="C53" s="5" t="s">
        <v>156</v>
      </c>
      <c r="D53" s="5" t="s">
        <v>161</v>
      </c>
      <c r="E53" s="5" t="s">
        <v>70</v>
      </c>
      <c r="F53" s="5">
        <v>11</v>
      </c>
      <c r="G53" s="5">
        <v>2023</v>
      </c>
      <c r="H53" s="5" t="s">
        <v>12</v>
      </c>
      <c r="I53" s="5">
        <v>1</v>
      </c>
      <c r="J53" s="26">
        <v>17349610</v>
      </c>
      <c r="K53" s="26">
        <v>1908457</v>
      </c>
      <c r="L53" s="5">
        <v>0</v>
      </c>
      <c r="M53" s="5" t="s">
        <v>13</v>
      </c>
      <c r="N53" s="5" t="s">
        <v>153</v>
      </c>
      <c r="O53" s="5" t="s">
        <v>13</v>
      </c>
      <c r="P53" s="5" t="s">
        <v>15</v>
      </c>
      <c r="Q53" s="5" t="s">
        <v>162</v>
      </c>
      <c r="R53" s="5" t="s">
        <v>15</v>
      </c>
      <c r="S53" s="5"/>
    </row>
    <row r="54" spans="1:19" x14ac:dyDescent="0.25">
      <c r="A54" s="4">
        <v>53</v>
      </c>
      <c r="B54" s="5" t="s">
        <v>155</v>
      </c>
      <c r="C54" s="5" t="s">
        <v>156</v>
      </c>
      <c r="D54" s="5" t="s">
        <v>163</v>
      </c>
      <c r="E54" s="5" t="s">
        <v>44</v>
      </c>
      <c r="F54" s="5">
        <v>11</v>
      </c>
      <c r="G54" s="5">
        <v>2023</v>
      </c>
      <c r="H54" s="5" t="s">
        <v>12</v>
      </c>
      <c r="I54" s="5">
        <v>1</v>
      </c>
      <c r="J54" s="26">
        <v>9387804</v>
      </c>
      <c r="K54" s="26">
        <v>1032658</v>
      </c>
      <c r="L54" s="5">
        <v>0</v>
      </c>
      <c r="M54" s="5" t="s">
        <v>13</v>
      </c>
      <c r="N54" s="5" t="s">
        <v>153</v>
      </c>
      <c r="O54" s="5" t="s">
        <v>13</v>
      </c>
      <c r="P54" s="5" t="s">
        <v>15</v>
      </c>
      <c r="Q54" s="5" t="s">
        <v>164</v>
      </c>
      <c r="R54" s="5" t="s">
        <v>15</v>
      </c>
      <c r="S54" s="5"/>
    </row>
    <row r="55" spans="1:19" x14ac:dyDescent="0.25">
      <c r="A55" s="4">
        <v>54</v>
      </c>
      <c r="B55" s="5" t="s">
        <v>155</v>
      </c>
      <c r="C55" s="5" t="s">
        <v>156</v>
      </c>
      <c r="D55" s="5" t="s">
        <v>165</v>
      </c>
      <c r="E55" s="5" t="s">
        <v>47</v>
      </c>
      <c r="F55" s="5">
        <v>11</v>
      </c>
      <c r="G55" s="5">
        <v>2023</v>
      </c>
      <c r="H55" s="5" t="s">
        <v>12</v>
      </c>
      <c r="I55" s="5">
        <v>1</v>
      </c>
      <c r="J55" s="26">
        <v>8748644</v>
      </c>
      <c r="K55" s="26">
        <v>962350</v>
      </c>
      <c r="L55" s="5">
        <v>0</v>
      </c>
      <c r="M55" s="5" t="s">
        <v>13</v>
      </c>
      <c r="N55" s="5" t="s">
        <v>153</v>
      </c>
      <c r="O55" s="5" t="s">
        <v>13</v>
      </c>
      <c r="P55" s="5" t="s">
        <v>15</v>
      </c>
      <c r="Q55" s="5" t="s">
        <v>166</v>
      </c>
      <c r="R55" s="5" t="s">
        <v>15</v>
      </c>
      <c r="S55" s="5"/>
    </row>
    <row r="56" spans="1:19" x14ac:dyDescent="0.25">
      <c r="A56" s="4">
        <v>55</v>
      </c>
      <c r="B56" s="5" t="s">
        <v>155</v>
      </c>
      <c r="C56" s="5" t="s">
        <v>156</v>
      </c>
      <c r="D56" s="5" t="s">
        <v>167</v>
      </c>
      <c r="E56" s="5" t="s">
        <v>86</v>
      </c>
      <c r="F56" s="5">
        <v>11</v>
      </c>
      <c r="G56" s="5">
        <v>2023</v>
      </c>
      <c r="H56" s="5" t="s">
        <v>12</v>
      </c>
      <c r="I56" s="5">
        <v>1</v>
      </c>
      <c r="J56" s="26">
        <v>9299515</v>
      </c>
      <c r="K56" s="26">
        <v>1022946</v>
      </c>
      <c r="L56" s="5">
        <v>0</v>
      </c>
      <c r="M56" s="5" t="s">
        <v>13</v>
      </c>
      <c r="N56" s="5" t="s">
        <v>153</v>
      </c>
      <c r="O56" s="5" t="s">
        <v>13</v>
      </c>
      <c r="P56" s="5" t="s">
        <v>15</v>
      </c>
      <c r="Q56" s="5" t="s">
        <v>168</v>
      </c>
      <c r="R56" s="5" t="s">
        <v>15</v>
      </c>
      <c r="S56" s="5"/>
    </row>
    <row r="57" spans="1:19" x14ac:dyDescent="0.25">
      <c r="A57" s="4">
        <v>56</v>
      </c>
      <c r="B57" s="5" t="s">
        <v>155</v>
      </c>
      <c r="C57" s="5" t="s">
        <v>156</v>
      </c>
      <c r="D57" s="5" t="s">
        <v>169</v>
      </c>
      <c r="E57" s="5" t="s">
        <v>89</v>
      </c>
      <c r="F57" s="5">
        <v>11</v>
      </c>
      <c r="G57" s="5">
        <v>2023</v>
      </c>
      <c r="H57" s="5" t="s">
        <v>12</v>
      </c>
      <c r="I57" s="5">
        <v>1</v>
      </c>
      <c r="J57" s="26">
        <v>8137563</v>
      </c>
      <c r="K57" s="26">
        <v>895131</v>
      </c>
      <c r="L57" s="5">
        <v>0</v>
      </c>
      <c r="M57" s="5" t="s">
        <v>13</v>
      </c>
      <c r="N57" s="5" t="s">
        <v>153</v>
      </c>
      <c r="O57" s="5" t="s">
        <v>13</v>
      </c>
      <c r="P57" s="5" t="s">
        <v>15</v>
      </c>
      <c r="Q57" s="5" t="s">
        <v>170</v>
      </c>
      <c r="R57" s="5" t="s">
        <v>15</v>
      </c>
      <c r="S57" s="5"/>
    </row>
    <row r="58" spans="1:19" x14ac:dyDescent="0.25">
      <c r="A58" s="4">
        <v>57</v>
      </c>
      <c r="B58" s="5" t="s">
        <v>155</v>
      </c>
      <c r="C58" s="5" t="s">
        <v>156</v>
      </c>
      <c r="D58" s="5" t="s">
        <v>171</v>
      </c>
      <c r="E58" s="5" t="s">
        <v>50</v>
      </c>
      <c r="F58" s="5">
        <v>11</v>
      </c>
      <c r="G58" s="5">
        <v>2023</v>
      </c>
      <c r="H58" s="5" t="s">
        <v>12</v>
      </c>
      <c r="I58" s="5">
        <v>1</v>
      </c>
      <c r="J58" s="26">
        <v>21437263</v>
      </c>
      <c r="K58" s="26">
        <v>2358098</v>
      </c>
      <c r="L58" s="5">
        <v>0</v>
      </c>
      <c r="M58" s="5" t="s">
        <v>13</v>
      </c>
      <c r="N58" s="5" t="s">
        <v>172</v>
      </c>
      <c r="O58" s="5" t="s">
        <v>13</v>
      </c>
      <c r="P58" s="5" t="s">
        <v>15</v>
      </c>
      <c r="Q58" s="5" t="s">
        <v>173</v>
      </c>
      <c r="R58" s="5" t="s">
        <v>15</v>
      </c>
      <c r="S58" s="5"/>
    </row>
    <row r="59" spans="1:19" x14ac:dyDescent="0.25">
      <c r="A59" s="4">
        <v>58</v>
      </c>
      <c r="B59" s="5" t="s">
        <v>155</v>
      </c>
      <c r="C59" s="5" t="s">
        <v>156</v>
      </c>
      <c r="D59" s="5" t="s">
        <v>174</v>
      </c>
      <c r="E59" s="5" t="s">
        <v>99</v>
      </c>
      <c r="F59" s="5">
        <v>11</v>
      </c>
      <c r="G59" s="5">
        <v>2023</v>
      </c>
      <c r="H59" s="5" t="s">
        <v>12</v>
      </c>
      <c r="I59" s="5">
        <v>1</v>
      </c>
      <c r="J59" s="26">
        <v>33239515</v>
      </c>
      <c r="K59" s="26">
        <v>3656346</v>
      </c>
      <c r="L59" s="5">
        <v>0</v>
      </c>
      <c r="M59" s="5" t="s">
        <v>13</v>
      </c>
      <c r="N59" s="5" t="s">
        <v>172</v>
      </c>
      <c r="O59" s="5" t="s">
        <v>13</v>
      </c>
      <c r="P59" s="5" t="s">
        <v>15</v>
      </c>
      <c r="Q59" s="5" t="s">
        <v>175</v>
      </c>
      <c r="R59" s="5" t="s">
        <v>15</v>
      </c>
      <c r="S59" s="5"/>
    </row>
    <row r="60" spans="1:19" x14ac:dyDescent="0.25">
      <c r="A60" s="4">
        <v>59</v>
      </c>
      <c r="B60" s="5" t="s">
        <v>155</v>
      </c>
      <c r="C60" s="5" t="s">
        <v>156</v>
      </c>
      <c r="D60" s="5" t="s">
        <v>176</v>
      </c>
      <c r="E60" s="5" t="s">
        <v>99</v>
      </c>
      <c r="F60" s="5">
        <v>11</v>
      </c>
      <c r="G60" s="5">
        <v>2023</v>
      </c>
      <c r="H60" s="5" t="s">
        <v>12</v>
      </c>
      <c r="I60" s="5">
        <v>1</v>
      </c>
      <c r="J60" s="26">
        <v>23621279</v>
      </c>
      <c r="K60" s="26">
        <v>2598340</v>
      </c>
      <c r="L60" s="5">
        <v>0</v>
      </c>
      <c r="M60" s="5" t="s">
        <v>13</v>
      </c>
      <c r="N60" s="5" t="s">
        <v>172</v>
      </c>
      <c r="O60" s="5" t="s">
        <v>13</v>
      </c>
      <c r="P60" s="5" t="s">
        <v>15</v>
      </c>
      <c r="Q60" s="5" t="s">
        <v>177</v>
      </c>
      <c r="R60" s="5" t="s">
        <v>15</v>
      </c>
      <c r="S60" s="5"/>
    </row>
    <row r="61" spans="1:19" x14ac:dyDescent="0.25">
      <c r="A61" s="4">
        <v>60</v>
      </c>
      <c r="B61" s="5" t="s">
        <v>155</v>
      </c>
      <c r="C61" s="5" t="s">
        <v>156</v>
      </c>
      <c r="D61" s="5" t="s">
        <v>178</v>
      </c>
      <c r="E61" s="5" t="s">
        <v>99</v>
      </c>
      <c r="F61" s="5">
        <v>11</v>
      </c>
      <c r="G61" s="5">
        <v>2023</v>
      </c>
      <c r="H61" s="5" t="s">
        <v>12</v>
      </c>
      <c r="I61" s="5">
        <v>1</v>
      </c>
      <c r="J61" s="26">
        <v>7003168</v>
      </c>
      <c r="K61" s="26">
        <v>770348</v>
      </c>
      <c r="L61" s="5">
        <v>0</v>
      </c>
      <c r="M61" s="5" t="s">
        <v>13</v>
      </c>
      <c r="N61" s="5" t="s">
        <v>172</v>
      </c>
      <c r="O61" s="5" t="s">
        <v>13</v>
      </c>
      <c r="P61" s="5" t="s">
        <v>15</v>
      </c>
      <c r="Q61" s="5" t="s">
        <v>179</v>
      </c>
      <c r="R61" s="5" t="s">
        <v>15</v>
      </c>
      <c r="S61" s="5"/>
    </row>
    <row r="62" spans="1:19" x14ac:dyDescent="0.25">
      <c r="A62" s="4">
        <v>61</v>
      </c>
      <c r="B62" s="5" t="s">
        <v>155</v>
      </c>
      <c r="C62" s="5" t="s">
        <v>156</v>
      </c>
      <c r="D62" s="5" t="s">
        <v>180</v>
      </c>
      <c r="E62" s="5" t="s">
        <v>104</v>
      </c>
      <c r="F62" s="5">
        <v>11</v>
      </c>
      <c r="G62" s="5">
        <v>2023</v>
      </c>
      <c r="H62" s="5" t="s">
        <v>12</v>
      </c>
      <c r="I62" s="5">
        <v>1</v>
      </c>
      <c r="J62" s="26">
        <v>20546702</v>
      </c>
      <c r="K62" s="26">
        <v>2260137</v>
      </c>
      <c r="L62" s="5">
        <v>0</v>
      </c>
      <c r="M62" s="5" t="s">
        <v>13</v>
      </c>
      <c r="N62" s="5" t="s">
        <v>172</v>
      </c>
      <c r="O62" s="5" t="s">
        <v>13</v>
      </c>
      <c r="P62" s="5" t="s">
        <v>15</v>
      </c>
      <c r="Q62" s="5" t="s">
        <v>181</v>
      </c>
      <c r="R62" s="5" t="s">
        <v>15</v>
      </c>
      <c r="S62" s="5"/>
    </row>
    <row r="63" spans="1:19" x14ac:dyDescent="0.25">
      <c r="A63" s="4">
        <v>62</v>
      </c>
      <c r="B63" s="5" t="s">
        <v>155</v>
      </c>
      <c r="C63" s="5" t="s">
        <v>156</v>
      </c>
      <c r="D63" s="5" t="s">
        <v>182</v>
      </c>
      <c r="E63" s="5" t="s">
        <v>104</v>
      </c>
      <c r="F63" s="5">
        <v>11</v>
      </c>
      <c r="G63" s="5">
        <v>2023</v>
      </c>
      <c r="H63" s="5" t="s">
        <v>12</v>
      </c>
      <c r="I63" s="5">
        <v>1</v>
      </c>
      <c r="J63" s="26">
        <v>14839684</v>
      </c>
      <c r="K63" s="26">
        <v>1632365</v>
      </c>
      <c r="L63" s="5">
        <v>0</v>
      </c>
      <c r="M63" s="5" t="s">
        <v>13</v>
      </c>
      <c r="N63" s="5" t="s">
        <v>172</v>
      </c>
      <c r="O63" s="5" t="s">
        <v>13</v>
      </c>
      <c r="P63" s="5" t="s">
        <v>15</v>
      </c>
      <c r="Q63" s="5" t="s">
        <v>183</v>
      </c>
      <c r="R63" s="5" t="s">
        <v>15</v>
      </c>
      <c r="S63" s="5"/>
    </row>
    <row r="64" spans="1:19" x14ac:dyDescent="0.25">
      <c r="A64" s="4">
        <v>63</v>
      </c>
      <c r="B64" s="5" t="s">
        <v>155</v>
      </c>
      <c r="C64" s="5" t="s">
        <v>156</v>
      </c>
      <c r="D64" s="5" t="s">
        <v>184</v>
      </c>
      <c r="E64" s="5" t="s">
        <v>104</v>
      </c>
      <c r="F64" s="5">
        <v>11</v>
      </c>
      <c r="G64" s="5">
        <v>2023</v>
      </c>
      <c r="H64" s="5" t="s">
        <v>12</v>
      </c>
      <c r="I64" s="5">
        <v>1</v>
      </c>
      <c r="J64" s="26">
        <v>22174754</v>
      </c>
      <c r="K64" s="26">
        <v>2439222</v>
      </c>
      <c r="L64" s="5">
        <v>0</v>
      </c>
      <c r="M64" s="5" t="s">
        <v>13</v>
      </c>
      <c r="N64" s="5" t="s">
        <v>172</v>
      </c>
      <c r="O64" s="5" t="s">
        <v>13</v>
      </c>
      <c r="P64" s="5" t="s">
        <v>15</v>
      </c>
      <c r="Q64" s="5" t="s">
        <v>185</v>
      </c>
      <c r="R64" s="5" t="s">
        <v>15</v>
      </c>
      <c r="S64" s="5"/>
    </row>
    <row r="65" spans="1:19" x14ac:dyDescent="0.25">
      <c r="A65" s="4">
        <v>64</v>
      </c>
      <c r="B65" s="5" t="s">
        <v>155</v>
      </c>
      <c r="C65" s="5" t="s">
        <v>156</v>
      </c>
      <c r="D65" s="5" t="s">
        <v>186</v>
      </c>
      <c r="E65" s="5" t="s">
        <v>104</v>
      </c>
      <c r="F65" s="5">
        <v>11</v>
      </c>
      <c r="G65" s="5">
        <v>2023</v>
      </c>
      <c r="H65" s="5" t="s">
        <v>12</v>
      </c>
      <c r="I65" s="5">
        <v>1</v>
      </c>
      <c r="J65" s="26">
        <v>1790108</v>
      </c>
      <c r="K65" s="26">
        <v>196911</v>
      </c>
      <c r="L65" s="5">
        <v>0</v>
      </c>
      <c r="M65" s="5" t="s">
        <v>13</v>
      </c>
      <c r="N65" s="5" t="s">
        <v>187</v>
      </c>
      <c r="O65" s="5" t="s">
        <v>13</v>
      </c>
      <c r="P65" s="5" t="s">
        <v>15</v>
      </c>
      <c r="Q65" s="5" t="s">
        <v>188</v>
      </c>
      <c r="R65" s="5" t="s">
        <v>15</v>
      </c>
      <c r="S65" s="5"/>
    </row>
    <row r="66" spans="1:19" x14ac:dyDescent="0.25">
      <c r="A66" s="4">
        <v>65</v>
      </c>
      <c r="B66" s="5" t="s">
        <v>155</v>
      </c>
      <c r="C66" s="5" t="s">
        <v>156</v>
      </c>
      <c r="D66" s="5" t="s">
        <v>189</v>
      </c>
      <c r="E66" s="5" t="s">
        <v>76</v>
      </c>
      <c r="F66" s="5">
        <v>11</v>
      </c>
      <c r="G66" s="5">
        <v>2023</v>
      </c>
      <c r="H66" s="5" t="s">
        <v>12</v>
      </c>
      <c r="I66" s="5">
        <v>1</v>
      </c>
      <c r="J66" s="26">
        <v>9901909</v>
      </c>
      <c r="K66" s="26">
        <v>1089210</v>
      </c>
      <c r="L66" s="5">
        <v>0</v>
      </c>
      <c r="M66" s="5" t="s">
        <v>13</v>
      </c>
      <c r="N66" s="5" t="s">
        <v>187</v>
      </c>
      <c r="O66" s="5" t="s">
        <v>13</v>
      </c>
      <c r="P66" s="5" t="s">
        <v>15</v>
      </c>
      <c r="Q66" s="5" t="s">
        <v>190</v>
      </c>
      <c r="R66" s="5" t="s">
        <v>15</v>
      </c>
      <c r="S66" s="5"/>
    </row>
    <row r="67" spans="1:19" x14ac:dyDescent="0.25">
      <c r="A67" s="4">
        <v>66</v>
      </c>
      <c r="B67" s="5" t="s">
        <v>155</v>
      </c>
      <c r="C67" s="5" t="s">
        <v>156</v>
      </c>
      <c r="D67" s="5" t="s">
        <v>191</v>
      </c>
      <c r="E67" s="5" t="s">
        <v>109</v>
      </c>
      <c r="F67" s="5">
        <v>11</v>
      </c>
      <c r="G67" s="5">
        <v>2023</v>
      </c>
      <c r="H67" s="5" t="s">
        <v>12</v>
      </c>
      <c r="I67" s="5">
        <v>1</v>
      </c>
      <c r="J67" s="26">
        <v>6481054</v>
      </c>
      <c r="K67" s="26">
        <v>712915</v>
      </c>
      <c r="L67" s="5">
        <v>0</v>
      </c>
      <c r="M67" s="5" t="s">
        <v>13</v>
      </c>
      <c r="N67" s="5" t="s">
        <v>187</v>
      </c>
      <c r="O67" s="5" t="s">
        <v>13</v>
      </c>
      <c r="P67" s="5" t="s">
        <v>15</v>
      </c>
      <c r="Q67" s="5" t="s">
        <v>192</v>
      </c>
      <c r="R67" s="5" t="s">
        <v>15</v>
      </c>
      <c r="S67" s="5"/>
    </row>
    <row r="68" spans="1:19" x14ac:dyDescent="0.25">
      <c r="A68" s="4">
        <v>67</v>
      </c>
      <c r="B68" s="5" t="s">
        <v>155</v>
      </c>
      <c r="C68" s="5" t="s">
        <v>156</v>
      </c>
      <c r="D68" s="5" t="s">
        <v>193</v>
      </c>
      <c r="E68" s="5" t="s">
        <v>109</v>
      </c>
      <c r="F68" s="5">
        <v>11</v>
      </c>
      <c r="G68" s="5">
        <v>2023</v>
      </c>
      <c r="H68" s="5" t="s">
        <v>12</v>
      </c>
      <c r="I68" s="5">
        <v>1</v>
      </c>
      <c r="J68" s="26">
        <v>29631141</v>
      </c>
      <c r="K68" s="26">
        <v>3259425</v>
      </c>
      <c r="L68" s="5">
        <v>0</v>
      </c>
      <c r="M68" s="5" t="s">
        <v>13</v>
      </c>
      <c r="N68" s="5" t="s">
        <v>187</v>
      </c>
      <c r="O68" s="5" t="s">
        <v>13</v>
      </c>
      <c r="P68" s="5" t="s">
        <v>15</v>
      </c>
      <c r="Q68" s="5" t="s">
        <v>194</v>
      </c>
      <c r="R68" s="5" t="s">
        <v>15</v>
      </c>
      <c r="S68" s="5"/>
    </row>
    <row r="69" spans="1:19" x14ac:dyDescent="0.25">
      <c r="A69" s="4">
        <v>68</v>
      </c>
      <c r="B69" s="5" t="s">
        <v>155</v>
      </c>
      <c r="C69" s="5" t="s">
        <v>156</v>
      </c>
      <c r="D69" s="5" t="s">
        <v>195</v>
      </c>
      <c r="E69" s="5" t="s">
        <v>109</v>
      </c>
      <c r="F69" s="5">
        <v>11</v>
      </c>
      <c r="G69" s="5">
        <v>2023</v>
      </c>
      <c r="H69" s="5" t="s">
        <v>12</v>
      </c>
      <c r="I69" s="5">
        <v>1</v>
      </c>
      <c r="J69" s="26">
        <v>1894650</v>
      </c>
      <c r="K69" s="26">
        <v>208411</v>
      </c>
      <c r="L69" s="5">
        <v>0</v>
      </c>
      <c r="M69" s="5" t="s">
        <v>13</v>
      </c>
      <c r="N69" s="5" t="s">
        <v>187</v>
      </c>
      <c r="O69" s="5" t="s">
        <v>13</v>
      </c>
      <c r="P69" s="5" t="s">
        <v>15</v>
      </c>
      <c r="Q69" s="5" t="s">
        <v>196</v>
      </c>
      <c r="R69" s="5" t="s">
        <v>15</v>
      </c>
      <c r="S69" s="5"/>
    </row>
    <row r="70" spans="1:19" x14ac:dyDescent="0.25">
      <c r="A70" s="4">
        <v>69</v>
      </c>
      <c r="B70" s="5" t="s">
        <v>155</v>
      </c>
      <c r="C70" s="5" t="s">
        <v>156</v>
      </c>
      <c r="D70" s="5" t="s">
        <v>197</v>
      </c>
      <c r="E70" s="5" t="s">
        <v>109</v>
      </c>
      <c r="F70" s="5">
        <v>11</v>
      </c>
      <c r="G70" s="5">
        <v>2023</v>
      </c>
      <c r="H70" s="5" t="s">
        <v>12</v>
      </c>
      <c r="I70" s="5">
        <v>1</v>
      </c>
      <c r="J70" s="26">
        <v>7216148</v>
      </c>
      <c r="K70" s="26">
        <v>793776</v>
      </c>
      <c r="L70" s="5">
        <v>0</v>
      </c>
      <c r="M70" s="5" t="s">
        <v>13</v>
      </c>
      <c r="N70" s="5" t="s">
        <v>187</v>
      </c>
      <c r="O70" s="5" t="s">
        <v>13</v>
      </c>
      <c r="P70" s="5" t="s">
        <v>15</v>
      </c>
      <c r="Q70" s="5" t="s">
        <v>198</v>
      </c>
      <c r="R70" s="5" t="s">
        <v>15</v>
      </c>
      <c r="S70" s="5"/>
    </row>
    <row r="71" spans="1:19" x14ac:dyDescent="0.25">
      <c r="A71" s="4">
        <v>70</v>
      </c>
      <c r="B71" s="5" t="s">
        <v>155</v>
      </c>
      <c r="C71" s="5" t="s">
        <v>156</v>
      </c>
      <c r="D71" s="5" t="s">
        <v>199</v>
      </c>
      <c r="E71" s="5" t="s">
        <v>116</v>
      </c>
      <c r="F71" s="5">
        <v>11</v>
      </c>
      <c r="G71" s="5">
        <v>2023</v>
      </c>
      <c r="H71" s="5" t="s">
        <v>12</v>
      </c>
      <c r="I71" s="5">
        <v>1</v>
      </c>
      <c r="J71" s="26">
        <v>3891148</v>
      </c>
      <c r="K71" s="26">
        <v>428026</v>
      </c>
      <c r="L71" s="5">
        <v>0</v>
      </c>
      <c r="M71" s="5" t="s">
        <v>13</v>
      </c>
      <c r="N71" s="5" t="s">
        <v>187</v>
      </c>
      <c r="O71" s="5" t="s">
        <v>13</v>
      </c>
      <c r="P71" s="5" t="s">
        <v>15</v>
      </c>
      <c r="Q71" s="5" t="s">
        <v>200</v>
      </c>
      <c r="R71" s="5" t="s">
        <v>15</v>
      </c>
      <c r="S71" s="5"/>
    </row>
    <row r="72" spans="1:19" x14ac:dyDescent="0.25">
      <c r="A72" s="4">
        <v>71</v>
      </c>
      <c r="B72" s="5" t="s">
        <v>155</v>
      </c>
      <c r="C72" s="5" t="s">
        <v>156</v>
      </c>
      <c r="D72" s="5" t="s">
        <v>201</v>
      </c>
      <c r="E72" s="5" t="s">
        <v>119</v>
      </c>
      <c r="F72" s="5">
        <v>11</v>
      </c>
      <c r="G72" s="5">
        <v>2023</v>
      </c>
      <c r="H72" s="5" t="s">
        <v>12</v>
      </c>
      <c r="I72" s="5">
        <v>1</v>
      </c>
      <c r="J72" s="26">
        <v>13497702</v>
      </c>
      <c r="K72" s="26">
        <v>1484747</v>
      </c>
      <c r="L72" s="5">
        <v>0</v>
      </c>
      <c r="M72" s="5" t="s">
        <v>13</v>
      </c>
      <c r="N72" s="5" t="s">
        <v>187</v>
      </c>
      <c r="O72" s="5" t="s">
        <v>13</v>
      </c>
      <c r="P72" s="5" t="s">
        <v>15</v>
      </c>
      <c r="Q72" s="5" t="s">
        <v>202</v>
      </c>
      <c r="R72" s="5" t="s">
        <v>15</v>
      </c>
      <c r="S72" s="5"/>
    </row>
    <row r="73" spans="1:19" x14ac:dyDescent="0.25">
      <c r="A73" s="4">
        <v>72</v>
      </c>
      <c r="B73" s="5" t="s">
        <v>155</v>
      </c>
      <c r="C73" s="5" t="s">
        <v>156</v>
      </c>
      <c r="D73" s="5" t="s">
        <v>203</v>
      </c>
      <c r="E73" s="5" t="s">
        <v>127</v>
      </c>
      <c r="F73" s="5">
        <v>11</v>
      </c>
      <c r="G73" s="5">
        <v>2023</v>
      </c>
      <c r="H73" s="5" t="s">
        <v>12</v>
      </c>
      <c r="I73" s="5">
        <v>1</v>
      </c>
      <c r="J73" s="26">
        <v>2976324</v>
      </c>
      <c r="K73" s="26">
        <v>327395</v>
      </c>
      <c r="L73" s="5">
        <v>0</v>
      </c>
      <c r="M73" s="5" t="s">
        <v>13</v>
      </c>
      <c r="N73" s="5" t="s">
        <v>204</v>
      </c>
      <c r="O73" s="5" t="s">
        <v>13</v>
      </c>
      <c r="P73" s="5" t="s">
        <v>15</v>
      </c>
      <c r="Q73" s="5" t="s">
        <v>205</v>
      </c>
      <c r="R73" s="5" t="s">
        <v>15</v>
      </c>
      <c r="S73" s="5"/>
    </row>
    <row r="74" spans="1:19" x14ac:dyDescent="0.25">
      <c r="A74" s="4">
        <v>73</v>
      </c>
      <c r="B74" s="5" t="s">
        <v>155</v>
      </c>
      <c r="C74" s="5" t="s">
        <v>156</v>
      </c>
      <c r="D74" s="5" t="s">
        <v>206</v>
      </c>
      <c r="E74" s="5" t="s">
        <v>127</v>
      </c>
      <c r="F74" s="5">
        <v>11</v>
      </c>
      <c r="G74" s="5">
        <v>2023</v>
      </c>
      <c r="H74" s="5" t="s">
        <v>12</v>
      </c>
      <c r="I74" s="5">
        <v>1</v>
      </c>
      <c r="J74" s="26">
        <v>1401891</v>
      </c>
      <c r="K74" s="26">
        <v>154208</v>
      </c>
      <c r="L74" s="5">
        <v>0</v>
      </c>
      <c r="M74" s="5" t="s">
        <v>13</v>
      </c>
      <c r="N74" s="5" t="s">
        <v>207</v>
      </c>
      <c r="O74" s="5" t="s">
        <v>13</v>
      </c>
      <c r="P74" s="5" t="s">
        <v>15</v>
      </c>
      <c r="Q74" s="5" t="s">
        <v>208</v>
      </c>
      <c r="R74" s="5" t="s">
        <v>15</v>
      </c>
      <c r="S74" s="5"/>
    </row>
    <row r="75" spans="1:19" x14ac:dyDescent="0.25">
      <c r="A75" s="4">
        <v>74</v>
      </c>
      <c r="B75" s="5" t="s">
        <v>155</v>
      </c>
      <c r="C75" s="5" t="s">
        <v>156</v>
      </c>
      <c r="D75" s="5" t="s">
        <v>209</v>
      </c>
      <c r="E75" s="5" t="s">
        <v>127</v>
      </c>
      <c r="F75" s="5">
        <v>11</v>
      </c>
      <c r="G75" s="5">
        <v>2023</v>
      </c>
      <c r="H75" s="5" t="s">
        <v>12</v>
      </c>
      <c r="I75" s="5">
        <v>1</v>
      </c>
      <c r="J75" s="26">
        <v>3041027</v>
      </c>
      <c r="K75" s="26">
        <v>334512</v>
      </c>
      <c r="L75" s="5">
        <v>0</v>
      </c>
      <c r="M75" s="5" t="s">
        <v>13</v>
      </c>
      <c r="N75" s="5" t="s">
        <v>207</v>
      </c>
      <c r="O75" s="5" t="s">
        <v>13</v>
      </c>
      <c r="P75" s="5" t="s">
        <v>15</v>
      </c>
      <c r="Q75" s="5" t="s">
        <v>210</v>
      </c>
      <c r="R75" s="5" t="s">
        <v>15</v>
      </c>
      <c r="S75" s="5"/>
    </row>
    <row r="76" spans="1:19" x14ac:dyDescent="0.25">
      <c r="A76" s="4">
        <v>75</v>
      </c>
      <c r="B76" s="5" t="s">
        <v>155</v>
      </c>
      <c r="C76" s="5" t="s">
        <v>156</v>
      </c>
      <c r="D76" s="5" t="s">
        <v>211</v>
      </c>
      <c r="E76" s="5" t="s">
        <v>130</v>
      </c>
      <c r="F76" s="5">
        <v>11</v>
      </c>
      <c r="G76" s="5">
        <v>2023</v>
      </c>
      <c r="H76" s="5" t="s">
        <v>12</v>
      </c>
      <c r="I76" s="5">
        <v>1</v>
      </c>
      <c r="J76" s="26">
        <v>23185135</v>
      </c>
      <c r="K76" s="26">
        <v>2550364</v>
      </c>
      <c r="L76" s="5">
        <v>0</v>
      </c>
      <c r="M76" s="5" t="s">
        <v>13</v>
      </c>
      <c r="N76" s="5" t="s">
        <v>207</v>
      </c>
      <c r="O76" s="5" t="s">
        <v>13</v>
      </c>
      <c r="P76" s="5" t="s">
        <v>15</v>
      </c>
      <c r="Q76" s="5" t="s">
        <v>212</v>
      </c>
      <c r="R76" s="5" t="s">
        <v>15</v>
      </c>
      <c r="S76" s="5"/>
    </row>
    <row r="77" spans="1:19" x14ac:dyDescent="0.25">
      <c r="A77" s="4">
        <v>76</v>
      </c>
      <c r="B77" s="5" t="s">
        <v>155</v>
      </c>
      <c r="C77" s="5" t="s">
        <v>156</v>
      </c>
      <c r="D77" s="5" t="s">
        <v>213</v>
      </c>
      <c r="E77" s="5" t="s">
        <v>136</v>
      </c>
      <c r="F77" s="5">
        <v>11</v>
      </c>
      <c r="G77" s="5">
        <v>2023</v>
      </c>
      <c r="H77" s="5" t="s">
        <v>12</v>
      </c>
      <c r="I77" s="5">
        <v>1</v>
      </c>
      <c r="J77" s="26">
        <v>16295944</v>
      </c>
      <c r="K77" s="26">
        <v>1792553</v>
      </c>
      <c r="L77" s="5">
        <v>0</v>
      </c>
      <c r="M77" s="5" t="s">
        <v>13</v>
      </c>
      <c r="N77" s="5" t="s">
        <v>207</v>
      </c>
      <c r="O77" s="5" t="s">
        <v>13</v>
      </c>
      <c r="P77" s="5" t="s">
        <v>15</v>
      </c>
      <c r="Q77" s="5" t="s">
        <v>214</v>
      </c>
      <c r="R77" s="5" t="s">
        <v>15</v>
      </c>
      <c r="S77" s="5"/>
    </row>
    <row r="78" spans="1:19" x14ac:dyDescent="0.25">
      <c r="A78" s="4">
        <v>77</v>
      </c>
      <c r="B78" s="5" t="s">
        <v>155</v>
      </c>
      <c r="C78" s="5" t="s">
        <v>156</v>
      </c>
      <c r="D78" s="5" t="s">
        <v>215</v>
      </c>
      <c r="E78" s="5" t="s">
        <v>136</v>
      </c>
      <c r="F78" s="5">
        <v>11</v>
      </c>
      <c r="G78" s="5">
        <v>2023</v>
      </c>
      <c r="H78" s="5" t="s">
        <v>12</v>
      </c>
      <c r="I78" s="5">
        <v>1</v>
      </c>
      <c r="J78" s="26">
        <v>4399783</v>
      </c>
      <c r="K78" s="26">
        <v>483976</v>
      </c>
      <c r="L78" s="5">
        <v>0</v>
      </c>
      <c r="M78" s="5" t="s">
        <v>13</v>
      </c>
      <c r="N78" s="5" t="s">
        <v>207</v>
      </c>
      <c r="O78" s="5" t="s">
        <v>13</v>
      </c>
      <c r="P78" s="5" t="s">
        <v>15</v>
      </c>
      <c r="Q78" s="5" t="s">
        <v>216</v>
      </c>
      <c r="R78" s="5" t="s">
        <v>15</v>
      </c>
      <c r="S78" s="5"/>
    </row>
    <row r="79" spans="1:19" x14ac:dyDescent="0.25">
      <c r="A79" s="4">
        <v>78</v>
      </c>
      <c r="B79" s="5" t="s">
        <v>155</v>
      </c>
      <c r="C79" s="5" t="s">
        <v>156</v>
      </c>
      <c r="D79" s="5" t="s">
        <v>217</v>
      </c>
      <c r="E79" s="5" t="s">
        <v>25</v>
      </c>
      <c r="F79" s="5">
        <v>11</v>
      </c>
      <c r="G79" s="5">
        <v>2023</v>
      </c>
      <c r="H79" s="5" t="s">
        <v>12</v>
      </c>
      <c r="I79" s="5">
        <v>1</v>
      </c>
      <c r="J79" s="26">
        <v>1273085</v>
      </c>
      <c r="K79" s="26">
        <v>140039</v>
      </c>
      <c r="L79" s="5">
        <v>0</v>
      </c>
      <c r="M79" s="5" t="s">
        <v>13</v>
      </c>
      <c r="N79" s="5" t="s">
        <v>207</v>
      </c>
      <c r="O79" s="5" t="s">
        <v>13</v>
      </c>
      <c r="P79" s="5" t="s">
        <v>15</v>
      </c>
      <c r="Q79" s="5" t="s">
        <v>218</v>
      </c>
      <c r="R79" s="5" t="s">
        <v>15</v>
      </c>
      <c r="S79" s="5"/>
    </row>
    <row r="80" spans="1:19" x14ac:dyDescent="0.25">
      <c r="A80" s="4">
        <v>79</v>
      </c>
      <c r="B80" s="5" t="s">
        <v>155</v>
      </c>
      <c r="C80" s="5" t="s">
        <v>156</v>
      </c>
      <c r="D80" s="5" t="s">
        <v>219</v>
      </c>
      <c r="E80" s="5" t="s">
        <v>145</v>
      </c>
      <c r="F80" s="5">
        <v>11</v>
      </c>
      <c r="G80" s="5">
        <v>2023</v>
      </c>
      <c r="H80" s="5" t="s">
        <v>12</v>
      </c>
      <c r="I80" s="5">
        <v>1</v>
      </c>
      <c r="J80" s="26">
        <v>1358756</v>
      </c>
      <c r="K80" s="26">
        <v>149463</v>
      </c>
      <c r="L80" s="5">
        <v>0</v>
      </c>
      <c r="M80" s="5" t="s">
        <v>13</v>
      </c>
      <c r="N80" s="5" t="s">
        <v>207</v>
      </c>
      <c r="O80" s="5" t="s">
        <v>13</v>
      </c>
      <c r="P80" s="5" t="s">
        <v>15</v>
      </c>
      <c r="Q80" s="5" t="s">
        <v>220</v>
      </c>
      <c r="R80" s="5" t="s">
        <v>15</v>
      </c>
      <c r="S80" s="5"/>
    </row>
    <row r="81" spans="1:19" x14ac:dyDescent="0.25">
      <c r="A81" s="4">
        <v>80</v>
      </c>
      <c r="B81" s="5" t="s">
        <v>155</v>
      </c>
      <c r="C81" s="5" t="s">
        <v>156</v>
      </c>
      <c r="D81" s="5" t="s">
        <v>221</v>
      </c>
      <c r="E81" s="5" t="s">
        <v>39</v>
      </c>
      <c r="F81" s="5">
        <v>11</v>
      </c>
      <c r="G81" s="5">
        <v>2023</v>
      </c>
      <c r="H81" s="5" t="s">
        <v>12</v>
      </c>
      <c r="I81" s="5">
        <v>1</v>
      </c>
      <c r="J81" s="26">
        <v>3342972</v>
      </c>
      <c r="K81" s="26">
        <v>367727</v>
      </c>
      <c r="L81" s="5">
        <v>0</v>
      </c>
      <c r="M81" s="5" t="s">
        <v>13</v>
      </c>
      <c r="N81" s="5" t="s">
        <v>207</v>
      </c>
      <c r="O81" s="5" t="s">
        <v>13</v>
      </c>
      <c r="P81" s="5" t="s">
        <v>15</v>
      </c>
      <c r="Q81" s="5" t="s">
        <v>222</v>
      </c>
      <c r="R81" s="5" t="s">
        <v>15</v>
      </c>
      <c r="S81" s="5"/>
    </row>
    <row r="82" spans="1:19" x14ac:dyDescent="0.25">
      <c r="A82" s="4">
        <v>81</v>
      </c>
      <c r="B82" s="5" t="s">
        <v>155</v>
      </c>
      <c r="C82" s="5" t="s">
        <v>156</v>
      </c>
      <c r="D82" s="5" t="s">
        <v>223</v>
      </c>
      <c r="E82" s="5" t="s">
        <v>148</v>
      </c>
      <c r="F82" s="5">
        <v>11</v>
      </c>
      <c r="G82" s="5">
        <v>2023</v>
      </c>
      <c r="H82" s="5" t="s">
        <v>12</v>
      </c>
      <c r="I82" s="5">
        <v>1</v>
      </c>
      <c r="J82" s="26">
        <v>8103264</v>
      </c>
      <c r="K82" s="26">
        <v>891359</v>
      </c>
      <c r="L82" s="5">
        <v>0</v>
      </c>
      <c r="M82" s="5" t="s">
        <v>13</v>
      </c>
      <c r="N82" s="5" t="s">
        <v>207</v>
      </c>
      <c r="O82" s="5" t="s">
        <v>13</v>
      </c>
      <c r="P82" s="5" t="s">
        <v>15</v>
      </c>
      <c r="Q82" s="5" t="s">
        <v>224</v>
      </c>
      <c r="R82" s="5" t="s">
        <v>15</v>
      </c>
      <c r="S82" s="5"/>
    </row>
    <row r="83" spans="1:19" x14ac:dyDescent="0.25">
      <c r="A83" s="4">
        <v>82</v>
      </c>
      <c r="B83" s="5" t="s">
        <v>834</v>
      </c>
      <c r="C83" s="5" t="s">
        <v>835</v>
      </c>
      <c r="D83" s="5" t="s">
        <v>836</v>
      </c>
      <c r="E83" s="5" t="s">
        <v>116</v>
      </c>
      <c r="F83" s="5">
        <v>11</v>
      </c>
      <c r="G83" s="5">
        <v>2023</v>
      </c>
      <c r="H83" s="5" t="s">
        <v>12</v>
      </c>
      <c r="I83" s="5">
        <v>1</v>
      </c>
      <c r="J83" s="26">
        <v>39836676</v>
      </c>
      <c r="K83" s="26">
        <v>4382034</v>
      </c>
      <c r="L83" s="5">
        <v>0</v>
      </c>
      <c r="M83" s="5" t="s">
        <v>13</v>
      </c>
      <c r="N83" s="5" t="s">
        <v>837</v>
      </c>
      <c r="O83" s="5" t="s">
        <v>13</v>
      </c>
      <c r="P83" s="5" t="s">
        <v>15</v>
      </c>
      <c r="Q83" s="5" t="s">
        <v>838</v>
      </c>
      <c r="R83" s="5" t="s">
        <v>15</v>
      </c>
      <c r="S83" s="5"/>
    </row>
    <row r="84" spans="1:19" x14ac:dyDescent="0.25">
      <c r="B84" s="5"/>
      <c r="C84" s="5"/>
      <c r="D84" s="5"/>
      <c r="E84" s="5"/>
      <c r="F84" s="5"/>
      <c r="G84" s="5"/>
      <c r="H84" s="5"/>
      <c r="I84" s="5"/>
      <c r="J84" s="35">
        <f>SUM(J2:J83)</f>
        <v>1477919736</v>
      </c>
      <c r="K84" s="35">
        <f>SUM(K2:K83)</f>
        <v>162571138</v>
      </c>
      <c r="L84" s="5"/>
      <c r="M84" s="5"/>
      <c r="N84" s="5"/>
      <c r="O84" s="5"/>
      <c r="P84" s="5"/>
      <c r="Q84" s="5"/>
      <c r="R84" s="5"/>
      <c r="S84" s="5"/>
    </row>
    <row r="85" spans="1:19" x14ac:dyDescent="0.25">
      <c r="B85" s="5"/>
      <c r="C85" s="5"/>
      <c r="D85" s="5"/>
      <c r="E85" s="5"/>
      <c r="F85" s="5"/>
      <c r="G85" s="5"/>
      <c r="H85" s="5"/>
      <c r="I85" s="5"/>
      <c r="J85" s="26"/>
      <c r="K85" s="26"/>
      <c r="L85" s="5"/>
      <c r="M85" s="5"/>
      <c r="N85" s="5"/>
      <c r="O85" s="5"/>
      <c r="P85" s="5"/>
      <c r="Q85" s="5"/>
      <c r="R85" s="5"/>
      <c r="S85" s="5"/>
    </row>
    <row r="86" spans="1:19" x14ac:dyDescent="0.25">
      <c r="I86" s="7"/>
      <c r="J86" s="8" t="s">
        <v>1</v>
      </c>
      <c r="K86" s="8" t="s">
        <v>2</v>
      </c>
    </row>
    <row r="87" spans="1:19" x14ac:dyDescent="0.25">
      <c r="I87" s="9" t="s">
        <v>3</v>
      </c>
      <c r="J87" s="10">
        <f>J282</f>
        <v>1565448072.0720718</v>
      </c>
      <c r="K87" s="10">
        <f>K282</f>
        <v>172199287.92792791</v>
      </c>
    </row>
    <row r="88" spans="1:19" ht="15.75" thickBot="1" x14ac:dyDescent="0.3">
      <c r="I88" s="9" t="s">
        <v>0</v>
      </c>
      <c r="J88" s="10">
        <f>J84</f>
        <v>1477919736</v>
      </c>
      <c r="K88" s="10">
        <f>K84</f>
        <v>162571138</v>
      </c>
    </row>
    <row r="89" spans="1:19" x14ac:dyDescent="0.25">
      <c r="I89" s="7"/>
      <c r="J89" s="11">
        <f>J87-J88</f>
        <v>87528336.072071791</v>
      </c>
      <c r="K89" s="11">
        <f>K87-K88</f>
        <v>9628149.9279279113</v>
      </c>
    </row>
    <row r="91" spans="1:19" s="2" customFormat="1" x14ac:dyDescent="0.25">
      <c r="A91" s="1" t="s">
        <v>3</v>
      </c>
      <c r="J91" s="3" t="s">
        <v>1</v>
      </c>
      <c r="K91" s="3" t="s">
        <v>2</v>
      </c>
      <c r="L91" s="2" t="s">
        <v>4</v>
      </c>
      <c r="Q91" s="3"/>
    </row>
    <row r="92" spans="1:19" x14ac:dyDescent="0.25">
      <c r="A92" s="12">
        <v>1</v>
      </c>
      <c r="B92" s="30" t="s">
        <v>225</v>
      </c>
      <c r="C92" s="25" t="s">
        <v>226</v>
      </c>
      <c r="D92" s="7" t="s">
        <v>227</v>
      </c>
      <c r="E92" s="7" t="s">
        <v>228</v>
      </c>
      <c r="F92" s="7" t="s">
        <v>229</v>
      </c>
      <c r="G92" s="17" t="s">
        <v>230</v>
      </c>
      <c r="I92" s="33">
        <v>45232</v>
      </c>
      <c r="J92" s="27">
        <f>L92/1.11</f>
        <v>675675.67567567562</v>
      </c>
      <c r="K92" s="27">
        <f>J92*11%</f>
        <v>74324.32432432432</v>
      </c>
      <c r="L92" s="25">
        <v>750000</v>
      </c>
      <c r="N92" s="18" t="s">
        <v>5</v>
      </c>
      <c r="Q92" s="6">
        <f>SUM(L92:L281)</f>
        <v>1737647360</v>
      </c>
    </row>
    <row r="93" spans="1:19" x14ac:dyDescent="0.25">
      <c r="A93" s="12">
        <v>2</v>
      </c>
      <c r="B93" s="30" t="s">
        <v>231</v>
      </c>
      <c r="C93" s="17" t="s">
        <v>232</v>
      </c>
      <c r="D93" s="7" t="s">
        <v>233</v>
      </c>
      <c r="E93" s="28" t="s">
        <v>234</v>
      </c>
      <c r="F93" s="7" t="s">
        <v>229</v>
      </c>
      <c r="G93" s="17" t="s">
        <v>235</v>
      </c>
      <c r="I93" s="33">
        <v>45232</v>
      </c>
      <c r="J93" s="27">
        <f>L93/1.11</f>
        <v>29355762.162162159</v>
      </c>
      <c r="K93" s="27">
        <f>J93*11%</f>
        <v>3229133.8378378376</v>
      </c>
      <c r="L93" s="25">
        <v>32584896</v>
      </c>
      <c r="N93" s="18" t="s">
        <v>1</v>
      </c>
      <c r="Q93" s="6">
        <f>SUM(J92:J281)</f>
        <v>1565448072.0720718</v>
      </c>
    </row>
    <row r="94" spans="1:19" x14ac:dyDescent="0.25">
      <c r="A94" s="12">
        <v>3</v>
      </c>
      <c r="B94" s="30" t="s">
        <v>236</v>
      </c>
      <c r="C94" s="25" t="s">
        <v>237</v>
      </c>
      <c r="D94" s="7" t="s">
        <v>233</v>
      </c>
      <c r="E94" s="28" t="s">
        <v>234</v>
      </c>
      <c r="F94" s="7" t="s">
        <v>229</v>
      </c>
      <c r="G94" s="17" t="s">
        <v>238</v>
      </c>
      <c r="I94" s="33">
        <v>45232</v>
      </c>
      <c r="J94" s="27">
        <f t="shared" ref="J94:J135" si="0">L94/1.11</f>
        <v>1140864.8648648649</v>
      </c>
      <c r="K94" s="27">
        <f t="shared" ref="K94:K135" si="1">J94*11%</f>
        <v>125495.13513513513</v>
      </c>
      <c r="L94" s="25">
        <v>1266360</v>
      </c>
      <c r="N94" s="18" t="s">
        <v>2</v>
      </c>
      <c r="Q94" s="6">
        <f>SUM(K92:K281)</f>
        <v>172199287.92792791</v>
      </c>
    </row>
    <row r="95" spans="1:19" x14ac:dyDescent="0.25">
      <c r="A95" s="12">
        <v>4</v>
      </c>
      <c r="B95" s="30" t="s">
        <v>239</v>
      </c>
      <c r="C95" s="25" t="s">
        <v>240</v>
      </c>
      <c r="D95" s="7" t="s">
        <v>241</v>
      </c>
      <c r="E95" s="7" t="s">
        <v>242</v>
      </c>
      <c r="F95" s="7" t="s">
        <v>243</v>
      </c>
      <c r="G95" s="17" t="s">
        <v>244</v>
      </c>
      <c r="I95" s="33">
        <v>45234</v>
      </c>
      <c r="J95" s="27">
        <f t="shared" si="0"/>
        <v>1615990.9909909908</v>
      </c>
      <c r="K95" s="27">
        <f t="shared" si="1"/>
        <v>177759.00900900899</v>
      </c>
      <c r="L95" s="25">
        <v>1793750</v>
      </c>
      <c r="N95" s="18"/>
    </row>
    <row r="96" spans="1:19" x14ac:dyDescent="0.25">
      <c r="A96" s="12">
        <v>5</v>
      </c>
      <c r="B96" s="30" t="s">
        <v>245</v>
      </c>
      <c r="C96" s="25" t="s">
        <v>246</v>
      </c>
      <c r="D96" s="7" t="s">
        <v>247</v>
      </c>
      <c r="E96" s="7" t="s">
        <v>248</v>
      </c>
      <c r="F96" s="7" t="s">
        <v>249</v>
      </c>
      <c r="G96" s="17" t="s">
        <v>250</v>
      </c>
      <c r="I96" s="33">
        <v>45236</v>
      </c>
      <c r="J96" s="27">
        <f t="shared" si="0"/>
        <v>798810.81081081077</v>
      </c>
      <c r="K96" s="27">
        <f t="shared" si="1"/>
        <v>87869.189189189186</v>
      </c>
      <c r="L96" s="25">
        <v>886680</v>
      </c>
      <c r="N96" s="18" t="s">
        <v>6</v>
      </c>
      <c r="Q96" s="6">
        <f>SUM(L92:L135)</f>
        <v>344230840</v>
      </c>
    </row>
    <row r="97" spans="1:19" x14ac:dyDescent="0.25">
      <c r="A97" s="12">
        <v>6</v>
      </c>
      <c r="B97" s="30" t="s">
        <v>251</v>
      </c>
      <c r="C97" s="25" t="s">
        <v>252</v>
      </c>
      <c r="D97" s="7" t="s">
        <v>227</v>
      </c>
      <c r="E97" s="7" t="s">
        <v>228</v>
      </c>
      <c r="F97" s="7" t="s">
        <v>229</v>
      </c>
      <c r="G97" s="17" t="s">
        <v>253</v>
      </c>
      <c r="I97" s="33">
        <v>45236</v>
      </c>
      <c r="J97" s="27">
        <f t="shared" si="0"/>
        <v>684684.68468468462</v>
      </c>
      <c r="K97" s="27">
        <f t="shared" si="1"/>
        <v>75315.315315315311</v>
      </c>
      <c r="L97" s="25">
        <v>760000</v>
      </c>
      <c r="N97" s="18" t="s">
        <v>1</v>
      </c>
      <c r="Q97" s="6">
        <f>SUM(J92:J135)</f>
        <v>310117873.87387395</v>
      </c>
    </row>
    <row r="98" spans="1:19" x14ac:dyDescent="0.25">
      <c r="A98" s="12">
        <v>7</v>
      </c>
      <c r="B98" s="30" t="s">
        <v>254</v>
      </c>
      <c r="C98" s="25" t="s">
        <v>255</v>
      </c>
      <c r="D98" s="7" t="s">
        <v>233</v>
      </c>
      <c r="E98" s="28" t="s">
        <v>234</v>
      </c>
      <c r="F98" s="7" t="s">
        <v>229</v>
      </c>
      <c r="G98" s="17" t="s">
        <v>256</v>
      </c>
      <c r="I98" s="33">
        <v>45236</v>
      </c>
      <c r="J98" s="27">
        <f t="shared" si="0"/>
        <v>15421469.369369367</v>
      </c>
      <c r="K98" s="27">
        <f t="shared" si="1"/>
        <v>1696361.6306306303</v>
      </c>
      <c r="L98" s="25">
        <v>17117831</v>
      </c>
      <c r="N98" s="18" t="s">
        <v>2</v>
      </c>
      <c r="Q98" s="6">
        <f>SUM(K92:K135)</f>
        <v>34112966.126126111</v>
      </c>
    </row>
    <row r="99" spans="1:19" x14ac:dyDescent="0.25">
      <c r="A99" s="12">
        <v>8</v>
      </c>
      <c r="B99" s="30" t="s">
        <v>257</v>
      </c>
      <c r="C99" s="25" t="s">
        <v>258</v>
      </c>
      <c r="D99" s="7" t="s">
        <v>241</v>
      </c>
      <c r="E99" s="7" t="s">
        <v>242</v>
      </c>
      <c r="F99" s="7" t="s">
        <v>243</v>
      </c>
      <c r="G99" s="17" t="s">
        <v>259</v>
      </c>
      <c r="I99" s="33">
        <v>45236</v>
      </c>
      <c r="J99" s="27">
        <f t="shared" si="0"/>
        <v>3211486.4864864862</v>
      </c>
      <c r="K99" s="27">
        <f t="shared" si="1"/>
        <v>353263.51351351349</v>
      </c>
      <c r="L99" s="25">
        <v>3564750</v>
      </c>
      <c r="N99" s="18"/>
    </row>
    <row r="100" spans="1:19" x14ac:dyDescent="0.25">
      <c r="A100" s="12">
        <v>9</v>
      </c>
      <c r="B100" s="30" t="s">
        <v>260</v>
      </c>
      <c r="C100" s="25" t="s">
        <v>261</v>
      </c>
      <c r="D100" s="7" t="s">
        <v>241</v>
      </c>
      <c r="E100" s="7" t="s">
        <v>242</v>
      </c>
      <c r="F100" s="7" t="s">
        <v>243</v>
      </c>
      <c r="G100" s="17" t="s">
        <v>262</v>
      </c>
      <c r="I100" s="33">
        <v>45238</v>
      </c>
      <c r="J100" s="27">
        <f t="shared" si="0"/>
        <v>1225000</v>
      </c>
      <c r="K100" s="27">
        <f t="shared" si="1"/>
        <v>134750</v>
      </c>
      <c r="L100" s="25">
        <v>1359750</v>
      </c>
      <c r="N100" s="18" t="s">
        <v>7</v>
      </c>
      <c r="Q100" s="6">
        <f>SUM(L136:L281)</f>
        <v>1393416520</v>
      </c>
    </row>
    <row r="101" spans="1:19" x14ac:dyDescent="0.25">
      <c r="A101" s="12">
        <v>10</v>
      </c>
      <c r="B101" s="30" t="s">
        <v>263</v>
      </c>
      <c r="C101" s="25" t="s">
        <v>264</v>
      </c>
      <c r="D101" s="7" t="s">
        <v>233</v>
      </c>
      <c r="E101" s="28" t="s">
        <v>234</v>
      </c>
      <c r="F101" s="7" t="s">
        <v>229</v>
      </c>
      <c r="G101" s="17" t="s">
        <v>265</v>
      </c>
      <c r="I101" s="33">
        <v>45238</v>
      </c>
      <c r="J101" s="27">
        <f t="shared" si="0"/>
        <v>1189491.8918918918</v>
      </c>
      <c r="K101" s="27">
        <f t="shared" si="1"/>
        <v>130844.10810810811</v>
      </c>
      <c r="L101" s="25">
        <v>1320336</v>
      </c>
      <c r="N101" s="18" t="s">
        <v>1</v>
      </c>
      <c r="Q101" s="6">
        <f>SUM(J136:J281)</f>
        <v>1255330198.1981976</v>
      </c>
      <c r="S101" s="6"/>
    </row>
    <row r="102" spans="1:19" x14ac:dyDescent="0.25">
      <c r="A102" s="12">
        <v>11</v>
      </c>
      <c r="B102" s="30" t="s">
        <v>266</v>
      </c>
      <c r="C102" s="25" t="s">
        <v>267</v>
      </c>
      <c r="D102" s="7" t="s">
        <v>268</v>
      </c>
      <c r="E102" s="7" t="s">
        <v>269</v>
      </c>
      <c r="F102" s="7" t="s">
        <v>270</v>
      </c>
      <c r="G102" s="17" t="s">
        <v>271</v>
      </c>
      <c r="I102" s="33">
        <v>45240</v>
      </c>
      <c r="J102" s="27">
        <f t="shared" si="0"/>
        <v>11936936.936936935</v>
      </c>
      <c r="K102" s="27">
        <f t="shared" si="1"/>
        <v>1313063.063063063</v>
      </c>
      <c r="L102" s="25">
        <v>13250000</v>
      </c>
      <c r="N102" s="18" t="s">
        <v>2</v>
      </c>
      <c r="Q102" s="6">
        <f>SUM(K136:K281)</f>
        <v>138086321.80180171</v>
      </c>
      <c r="S102" s="6"/>
    </row>
    <row r="103" spans="1:19" x14ac:dyDescent="0.25">
      <c r="A103" s="12">
        <v>12</v>
      </c>
      <c r="B103" s="30" t="s">
        <v>272</v>
      </c>
      <c r="C103" s="25" t="s">
        <v>273</v>
      </c>
      <c r="D103" s="29" t="s">
        <v>274</v>
      </c>
      <c r="E103" s="7" t="s">
        <v>275</v>
      </c>
      <c r="F103" s="7" t="s">
        <v>229</v>
      </c>
      <c r="G103" s="17" t="s">
        <v>276</v>
      </c>
      <c r="I103" s="33">
        <v>45240</v>
      </c>
      <c r="J103" s="27">
        <f t="shared" si="0"/>
        <v>1342229.7297297297</v>
      </c>
      <c r="K103" s="27">
        <f t="shared" si="1"/>
        <v>147645.27027027027</v>
      </c>
      <c r="L103" s="25">
        <v>1489875</v>
      </c>
    </row>
    <row r="104" spans="1:19" x14ac:dyDescent="0.25">
      <c r="A104" s="12">
        <v>13</v>
      </c>
      <c r="B104" s="30" t="s">
        <v>277</v>
      </c>
      <c r="C104" s="25" t="s">
        <v>278</v>
      </c>
      <c r="D104" s="7" t="s">
        <v>279</v>
      </c>
      <c r="E104" s="7" t="s">
        <v>280</v>
      </c>
      <c r="F104" s="7" t="s">
        <v>281</v>
      </c>
      <c r="G104" s="17" t="s">
        <v>282</v>
      </c>
      <c r="I104" s="33">
        <v>45243</v>
      </c>
      <c r="J104" s="27">
        <f t="shared" si="0"/>
        <v>759279.27927927917</v>
      </c>
      <c r="K104" s="27">
        <f t="shared" si="1"/>
        <v>83520.72072072071</v>
      </c>
      <c r="L104" s="25">
        <v>842800</v>
      </c>
    </row>
    <row r="105" spans="1:19" x14ac:dyDescent="0.25">
      <c r="A105" s="12">
        <v>14</v>
      </c>
      <c r="B105" s="30" t="s">
        <v>283</v>
      </c>
      <c r="C105" s="25" t="s">
        <v>284</v>
      </c>
      <c r="D105" s="28" t="s">
        <v>285</v>
      </c>
      <c r="E105" s="28" t="s">
        <v>286</v>
      </c>
      <c r="F105" s="28" t="s">
        <v>287</v>
      </c>
      <c r="G105" s="17" t="s">
        <v>288</v>
      </c>
      <c r="I105" s="33">
        <v>45244</v>
      </c>
      <c r="J105" s="27">
        <f t="shared" si="0"/>
        <v>11091891.891891891</v>
      </c>
      <c r="K105" s="27">
        <f t="shared" si="1"/>
        <v>1220108.1081081079</v>
      </c>
      <c r="L105" s="25">
        <v>12312000</v>
      </c>
    </row>
    <row r="106" spans="1:19" x14ac:dyDescent="0.25">
      <c r="A106" s="12">
        <v>15</v>
      </c>
      <c r="B106" s="30" t="s">
        <v>289</v>
      </c>
      <c r="C106" s="25" t="s">
        <v>290</v>
      </c>
      <c r="D106" s="7" t="s">
        <v>291</v>
      </c>
      <c r="E106" s="7" t="s">
        <v>292</v>
      </c>
      <c r="F106" s="7" t="s">
        <v>293</v>
      </c>
      <c r="G106" s="17" t="s">
        <v>294</v>
      </c>
      <c r="I106" s="33">
        <v>45244</v>
      </c>
      <c r="J106" s="27">
        <f t="shared" si="0"/>
        <v>1513513.5135135134</v>
      </c>
      <c r="K106" s="27">
        <f t="shared" si="1"/>
        <v>166486.48648648648</v>
      </c>
      <c r="L106" s="25">
        <v>1680000</v>
      </c>
    </row>
    <row r="107" spans="1:19" x14ac:dyDescent="0.25">
      <c r="A107" s="12">
        <v>16</v>
      </c>
      <c r="B107" s="30" t="s">
        <v>295</v>
      </c>
      <c r="C107" s="25" t="s">
        <v>296</v>
      </c>
      <c r="D107" s="7" t="s">
        <v>297</v>
      </c>
      <c r="E107" s="7" t="s">
        <v>298</v>
      </c>
      <c r="F107" s="7" t="s">
        <v>270</v>
      </c>
      <c r="G107" s="17" t="s">
        <v>299</v>
      </c>
      <c r="I107" s="33">
        <v>45245</v>
      </c>
      <c r="J107" s="27">
        <f t="shared" si="0"/>
        <v>5106429.7297297297</v>
      </c>
      <c r="K107" s="27">
        <f t="shared" si="1"/>
        <v>561707.2702702703</v>
      </c>
      <c r="L107" s="25">
        <v>5668137</v>
      </c>
    </row>
    <row r="108" spans="1:19" x14ac:dyDescent="0.25">
      <c r="A108" s="12">
        <v>17</v>
      </c>
      <c r="B108" s="30" t="s">
        <v>300</v>
      </c>
      <c r="C108" s="25" t="s">
        <v>301</v>
      </c>
      <c r="D108" s="7" t="s">
        <v>241</v>
      </c>
      <c r="E108" s="7" t="s">
        <v>242</v>
      </c>
      <c r="F108" s="7" t="s">
        <v>243</v>
      </c>
      <c r="G108" s="17" t="s">
        <v>302</v>
      </c>
      <c r="I108" s="33">
        <v>45243</v>
      </c>
      <c r="J108" s="27">
        <f t="shared" si="0"/>
        <v>19862027.027027026</v>
      </c>
      <c r="K108" s="27">
        <f t="shared" si="1"/>
        <v>2184822.9729729728</v>
      </c>
      <c r="L108" s="25">
        <v>22046850</v>
      </c>
    </row>
    <row r="109" spans="1:19" x14ac:dyDescent="0.25">
      <c r="A109" s="12">
        <v>18</v>
      </c>
      <c r="B109" s="30" t="s">
        <v>303</v>
      </c>
      <c r="C109" s="25" t="s">
        <v>304</v>
      </c>
      <c r="D109" s="7" t="s">
        <v>268</v>
      </c>
      <c r="E109" s="7" t="s">
        <v>269</v>
      </c>
      <c r="F109" s="7" t="s">
        <v>270</v>
      </c>
      <c r="G109" s="17" t="s">
        <v>305</v>
      </c>
      <c r="I109" s="33">
        <v>45245</v>
      </c>
      <c r="J109" s="27">
        <f t="shared" si="0"/>
        <v>20330270.270270269</v>
      </c>
      <c r="K109" s="27">
        <f t="shared" si="1"/>
        <v>2236329.7297297297</v>
      </c>
      <c r="L109" s="25">
        <v>22566600</v>
      </c>
    </row>
    <row r="110" spans="1:19" x14ac:dyDescent="0.25">
      <c r="A110" s="12">
        <v>19</v>
      </c>
      <c r="B110" s="30" t="s">
        <v>306</v>
      </c>
      <c r="C110" s="25" t="s">
        <v>307</v>
      </c>
      <c r="D110" s="7" t="s">
        <v>308</v>
      </c>
      <c r="E110" s="7" t="s">
        <v>309</v>
      </c>
      <c r="F110" s="7" t="s">
        <v>310</v>
      </c>
      <c r="G110" s="17" t="s">
        <v>311</v>
      </c>
      <c r="I110" s="33">
        <v>45246</v>
      </c>
      <c r="J110" s="27">
        <f t="shared" si="0"/>
        <v>16345945.945945945</v>
      </c>
      <c r="K110" s="27">
        <f t="shared" si="1"/>
        <v>1798054.054054054</v>
      </c>
      <c r="L110" s="25">
        <v>18144000</v>
      </c>
    </row>
    <row r="111" spans="1:19" x14ac:dyDescent="0.25">
      <c r="A111" s="12">
        <v>20</v>
      </c>
      <c r="B111" s="30" t="s">
        <v>312</v>
      </c>
      <c r="C111" s="25" t="s">
        <v>313</v>
      </c>
      <c r="D111" s="28" t="s">
        <v>285</v>
      </c>
      <c r="E111" s="28" t="s">
        <v>286</v>
      </c>
      <c r="F111" s="28" t="s">
        <v>287</v>
      </c>
      <c r="G111" s="17" t="s">
        <v>314</v>
      </c>
      <c r="I111" s="33">
        <v>45247</v>
      </c>
      <c r="J111" s="27">
        <f t="shared" si="0"/>
        <v>3697297.297297297</v>
      </c>
      <c r="K111" s="27">
        <f t="shared" si="1"/>
        <v>406702.70270270266</v>
      </c>
      <c r="L111" s="25">
        <v>4104000</v>
      </c>
    </row>
    <row r="112" spans="1:19" x14ac:dyDescent="0.25">
      <c r="A112" s="12">
        <v>21</v>
      </c>
      <c r="B112" s="30" t="s">
        <v>315</v>
      </c>
      <c r="C112" s="25" t="s">
        <v>316</v>
      </c>
      <c r="D112" s="7" t="s">
        <v>241</v>
      </c>
      <c r="E112" s="7" t="s">
        <v>242</v>
      </c>
      <c r="F112" s="7" t="s">
        <v>243</v>
      </c>
      <c r="G112" s="17" t="s">
        <v>317</v>
      </c>
      <c r="I112" s="33">
        <v>45248</v>
      </c>
      <c r="J112" s="27">
        <f t="shared" si="0"/>
        <v>13301891.891891891</v>
      </c>
      <c r="K112" s="27">
        <f t="shared" si="1"/>
        <v>1463208.1081081079</v>
      </c>
      <c r="L112" s="25">
        <v>14765100</v>
      </c>
    </row>
    <row r="113" spans="1:12" x14ac:dyDescent="0.25">
      <c r="A113" s="12">
        <v>22</v>
      </c>
      <c r="B113" s="30" t="s">
        <v>318</v>
      </c>
      <c r="C113" s="25" t="s">
        <v>319</v>
      </c>
      <c r="D113" s="28" t="s">
        <v>320</v>
      </c>
      <c r="E113" s="28" t="s">
        <v>321</v>
      </c>
      <c r="F113" s="28" t="s">
        <v>322</v>
      </c>
      <c r="G113" s="17" t="s">
        <v>323</v>
      </c>
      <c r="I113" s="33">
        <v>45247</v>
      </c>
      <c r="J113" s="27">
        <f t="shared" si="0"/>
        <v>1042054.054054054</v>
      </c>
      <c r="K113" s="27">
        <f t="shared" si="1"/>
        <v>114625.94594594593</v>
      </c>
      <c r="L113" s="25">
        <v>1156680</v>
      </c>
    </row>
    <row r="114" spans="1:12" x14ac:dyDescent="0.25">
      <c r="A114" s="12">
        <v>23</v>
      </c>
      <c r="B114" s="30" t="s">
        <v>324</v>
      </c>
      <c r="C114" s="25" t="s">
        <v>325</v>
      </c>
      <c r="D114" s="7" t="s">
        <v>308</v>
      </c>
      <c r="E114" s="7" t="s">
        <v>309</v>
      </c>
      <c r="F114" s="7" t="s">
        <v>310</v>
      </c>
      <c r="G114" s="17" t="s">
        <v>326</v>
      </c>
      <c r="I114" s="33">
        <v>45248</v>
      </c>
      <c r="J114" s="27">
        <f t="shared" si="0"/>
        <v>4427027.0270270268</v>
      </c>
      <c r="K114" s="27">
        <f t="shared" si="1"/>
        <v>486972.97297297296</v>
      </c>
      <c r="L114" s="25">
        <v>4914000</v>
      </c>
    </row>
    <row r="115" spans="1:12" x14ac:dyDescent="0.25">
      <c r="A115" s="12">
        <v>24</v>
      </c>
      <c r="B115" s="30" t="s">
        <v>327</v>
      </c>
      <c r="C115" s="25" t="s">
        <v>328</v>
      </c>
      <c r="D115" s="7" t="s">
        <v>241</v>
      </c>
      <c r="E115" s="7" t="s">
        <v>242</v>
      </c>
      <c r="F115" s="7" t="s">
        <v>243</v>
      </c>
      <c r="G115" s="17" t="s">
        <v>329</v>
      </c>
      <c r="I115" s="33">
        <v>45248</v>
      </c>
      <c r="J115" s="27">
        <f t="shared" si="0"/>
        <v>33021081.081081077</v>
      </c>
      <c r="K115" s="27">
        <f t="shared" si="1"/>
        <v>3632318.9189189184</v>
      </c>
      <c r="L115" s="25">
        <v>36653400</v>
      </c>
    </row>
    <row r="116" spans="1:12" x14ac:dyDescent="0.25">
      <c r="A116" s="12">
        <v>25</v>
      </c>
      <c r="B116" s="30" t="s">
        <v>330</v>
      </c>
      <c r="C116" s="25" t="s">
        <v>331</v>
      </c>
      <c r="D116" s="7" t="s">
        <v>241</v>
      </c>
      <c r="E116" s="7" t="s">
        <v>242</v>
      </c>
      <c r="F116" s="7" t="s">
        <v>243</v>
      </c>
      <c r="G116" s="17" t="s">
        <v>332</v>
      </c>
      <c r="I116" s="33">
        <v>45248</v>
      </c>
      <c r="J116" s="27">
        <f t="shared" si="0"/>
        <v>7389729.7297297288</v>
      </c>
      <c r="K116" s="27">
        <f t="shared" si="1"/>
        <v>812870.27027027018</v>
      </c>
      <c r="L116" s="25">
        <v>8202600</v>
      </c>
    </row>
    <row r="117" spans="1:12" x14ac:dyDescent="0.25">
      <c r="A117" s="12">
        <v>26</v>
      </c>
      <c r="B117" s="30" t="s">
        <v>333</v>
      </c>
      <c r="C117" s="25" t="s">
        <v>334</v>
      </c>
      <c r="D117" s="7" t="s">
        <v>233</v>
      </c>
      <c r="E117" s="28" t="s">
        <v>234</v>
      </c>
      <c r="F117" s="7" t="s">
        <v>229</v>
      </c>
      <c r="G117" s="17" t="s">
        <v>335</v>
      </c>
      <c r="I117" s="33">
        <v>45248</v>
      </c>
      <c r="J117" s="27">
        <f t="shared" si="0"/>
        <v>3311936.9369369368</v>
      </c>
      <c r="K117" s="27">
        <f t="shared" si="1"/>
        <v>364313.06306306308</v>
      </c>
      <c r="L117" s="25">
        <v>3676250</v>
      </c>
    </row>
    <row r="118" spans="1:12" x14ac:dyDescent="0.25">
      <c r="A118" s="12">
        <v>27</v>
      </c>
      <c r="B118" s="30" t="s">
        <v>336</v>
      </c>
      <c r="C118" s="25" t="s">
        <v>337</v>
      </c>
      <c r="D118" s="7" t="s">
        <v>338</v>
      </c>
      <c r="E118" s="7" t="s">
        <v>339</v>
      </c>
      <c r="F118" s="7" t="s">
        <v>340</v>
      </c>
      <c r="G118" s="17" t="s">
        <v>341</v>
      </c>
      <c r="I118" s="33">
        <v>45257</v>
      </c>
      <c r="J118" s="27">
        <f t="shared" si="0"/>
        <v>145945.94594594595</v>
      </c>
      <c r="K118" s="27">
        <f t="shared" si="1"/>
        <v>16054.054054054055</v>
      </c>
      <c r="L118" s="25">
        <v>162000</v>
      </c>
    </row>
    <row r="119" spans="1:12" x14ac:dyDescent="0.25">
      <c r="A119" s="12">
        <v>28</v>
      </c>
      <c r="B119" s="30" t="s">
        <v>342</v>
      </c>
      <c r="C119" s="25" t="s">
        <v>343</v>
      </c>
      <c r="D119" s="7" t="s">
        <v>344</v>
      </c>
      <c r="E119" s="7" t="s">
        <v>345</v>
      </c>
      <c r="F119" s="7" t="s">
        <v>346</v>
      </c>
      <c r="G119" s="17" t="s">
        <v>347</v>
      </c>
      <c r="I119" s="33">
        <v>45253</v>
      </c>
      <c r="J119" s="27">
        <f t="shared" si="0"/>
        <v>1258180.1801801801</v>
      </c>
      <c r="K119" s="27">
        <f t="shared" si="1"/>
        <v>138399.81981981982</v>
      </c>
      <c r="L119" s="25">
        <v>1396580</v>
      </c>
    </row>
    <row r="120" spans="1:12" x14ac:dyDescent="0.25">
      <c r="A120" s="12">
        <v>29</v>
      </c>
      <c r="B120" s="30" t="s">
        <v>348</v>
      </c>
      <c r="C120" s="25" t="s">
        <v>349</v>
      </c>
      <c r="D120" s="7" t="s">
        <v>268</v>
      </c>
      <c r="E120" s="7" t="s">
        <v>269</v>
      </c>
      <c r="F120" s="7" t="s">
        <v>270</v>
      </c>
      <c r="G120" s="17" t="s">
        <v>350</v>
      </c>
      <c r="I120" s="33">
        <v>45254</v>
      </c>
      <c r="J120" s="27">
        <f t="shared" si="0"/>
        <v>10897297.297297297</v>
      </c>
      <c r="K120" s="27">
        <f t="shared" si="1"/>
        <v>1198702.7027027027</v>
      </c>
      <c r="L120" s="25">
        <v>12096000</v>
      </c>
    </row>
    <row r="121" spans="1:12" x14ac:dyDescent="0.25">
      <c r="A121" s="12">
        <v>30</v>
      </c>
      <c r="B121" s="30" t="s">
        <v>351</v>
      </c>
      <c r="C121" s="25" t="s">
        <v>352</v>
      </c>
      <c r="D121" s="7" t="s">
        <v>279</v>
      </c>
      <c r="E121" s="7" t="s">
        <v>280</v>
      </c>
      <c r="F121" s="7" t="s">
        <v>281</v>
      </c>
      <c r="G121" s="17" t="s">
        <v>353</v>
      </c>
      <c r="I121" s="33">
        <v>45254</v>
      </c>
      <c r="J121" s="27">
        <f t="shared" si="0"/>
        <v>1595416.2162162161</v>
      </c>
      <c r="K121" s="27">
        <f t="shared" si="1"/>
        <v>175495.78378378376</v>
      </c>
      <c r="L121" s="25">
        <v>1770912</v>
      </c>
    </row>
    <row r="122" spans="1:12" x14ac:dyDescent="0.25">
      <c r="A122" s="12">
        <v>31</v>
      </c>
      <c r="B122" s="30" t="s">
        <v>354</v>
      </c>
      <c r="C122" s="25" t="s">
        <v>355</v>
      </c>
      <c r="D122" s="7" t="s">
        <v>241</v>
      </c>
      <c r="E122" s="7" t="s">
        <v>242</v>
      </c>
      <c r="F122" s="7" t="s">
        <v>243</v>
      </c>
      <c r="G122" s="17" t="s">
        <v>356</v>
      </c>
      <c r="I122" s="33">
        <v>45254</v>
      </c>
      <c r="J122" s="27">
        <f t="shared" si="0"/>
        <v>2213513.5135135134</v>
      </c>
      <c r="K122" s="27">
        <f t="shared" si="1"/>
        <v>243486.48648648648</v>
      </c>
      <c r="L122" s="25">
        <v>2457000</v>
      </c>
    </row>
    <row r="123" spans="1:12" x14ac:dyDescent="0.25">
      <c r="A123" s="12">
        <v>32</v>
      </c>
      <c r="B123" s="30" t="s">
        <v>357</v>
      </c>
      <c r="C123" s="25" t="s">
        <v>358</v>
      </c>
      <c r="D123" s="7" t="s">
        <v>279</v>
      </c>
      <c r="E123" s="7" t="s">
        <v>280</v>
      </c>
      <c r="F123" s="7" t="s">
        <v>281</v>
      </c>
      <c r="G123" s="17" t="s">
        <v>359</v>
      </c>
      <c r="I123" s="33">
        <v>45255</v>
      </c>
      <c r="J123" s="27">
        <f t="shared" si="0"/>
        <v>1578990.9909909908</v>
      </c>
      <c r="K123" s="27">
        <f t="shared" si="1"/>
        <v>173689.00900900899</v>
      </c>
      <c r="L123" s="25">
        <v>1752680</v>
      </c>
    </row>
    <row r="124" spans="1:12" x14ac:dyDescent="0.25">
      <c r="A124" s="12">
        <v>33</v>
      </c>
      <c r="B124" s="30" t="s">
        <v>360</v>
      </c>
      <c r="C124" s="25" t="s">
        <v>361</v>
      </c>
      <c r="D124" s="7" t="s">
        <v>279</v>
      </c>
      <c r="E124" s="7" t="s">
        <v>280</v>
      </c>
      <c r="F124" s="7" t="s">
        <v>281</v>
      </c>
      <c r="G124" s="17" t="s">
        <v>362</v>
      </c>
      <c r="I124" s="33">
        <v>45255</v>
      </c>
      <c r="J124" s="27">
        <f t="shared" si="0"/>
        <v>3254054.054054054</v>
      </c>
      <c r="K124" s="27">
        <f t="shared" si="1"/>
        <v>357945.94594594592</v>
      </c>
      <c r="L124" s="25">
        <v>3612000</v>
      </c>
    </row>
    <row r="125" spans="1:12" x14ac:dyDescent="0.25">
      <c r="A125" s="12">
        <v>34</v>
      </c>
      <c r="B125" s="30" t="s">
        <v>363</v>
      </c>
      <c r="C125" s="25" t="s">
        <v>364</v>
      </c>
      <c r="D125" s="7" t="s">
        <v>227</v>
      </c>
      <c r="E125" s="7" t="s">
        <v>228</v>
      </c>
      <c r="F125" s="7" t="s">
        <v>229</v>
      </c>
      <c r="G125" s="17" t="s">
        <v>365</v>
      </c>
      <c r="I125" s="33">
        <v>45257</v>
      </c>
      <c r="J125" s="27">
        <f t="shared" si="0"/>
        <v>410810.81081081077</v>
      </c>
      <c r="K125" s="27">
        <f t="shared" si="1"/>
        <v>45189.189189189186</v>
      </c>
      <c r="L125" s="25">
        <v>456000</v>
      </c>
    </row>
    <row r="126" spans="1:12" x14ac:dyDescent="0.25">
      <c r="A126" s="12">
        <v>35</v>
      </c>
      <c r="B126" s="30" t="s">
        <v>366</v>
      </c>
      <c r="C126" s="25" t="s">
        <v>367</v>
      </c>
      <c r="D126" s="28" t="s">
        <v>285</v>
      </c>
      <c r="E126" s="28" t="s">
        <v>286</v>
      </c>
      <c r="F126" s="28" t="s">
        <v>287</v>
      </c>
      <c r="G126" s="17" t="s">
        <v>368</v>
      </c>
      <c r="I126" s="33">
        <v>45258</v>
      </c>
      <c r="J126" s="27">
        <f t="shared" si="0"/>
        <v>7394594.5945945941</v>
      </c>
      <c r="K126" s="27">
        <f t="shared" si="1"/>
        <v>813405.40540540533</v>
      </c>
      <c r="L126" s="25">
        <v>8208000</v>
      </c>
    </row>
    <row r="127" spans="1:12" x14ac:dyDescent="0.25">
      <c r="A127" s="12">
        <v>36</v>
      </c>
      <c r="B127" s="30" t="s">
        <v>369</v>
      </c>
      <c r="C127" s="25" t="s">
        <v>370</v>
      </c>
      <c r="D127" s="7" t="s">
        <v>279</v>
      </c>
      <c r="E127" s="7" t="s">
        <v>280</v>
      </c>
      <c r="F127" s="7" t="s">
        <v>281</v>
      </c>
      <c r="G127" s="17" t="s">
        <v>371</v>
      </c>
      <c r="I127" s="33">
        <v>45258</v>
      </c>
      <c r="J127" s="27">
        <f t="shared" si="0"/>
        <v>3308288.2882882878</v>
      </c>
      <c r="K127" s="27">
        <f t="shared" si="1"/>
        <v>363911.71171171166</v>
      </c>
      <c r="L127" s="25">
        <v>3672200</v>
      </c>
    </row>
    <row r="128" spans="1:12" x14ac:dyDescent="0.25">
      <c r="A128" s="12">
        <v>37</v>
      </c>
      <c r="B128" s="30" t="s">
        <v>372</v>
      </c>
      <c r="C128" s="25" t="s">
        <v>373</v>
      </c>
      <c r="D128" s="7" t="s">
        <v>247</v>
      </c>
      <c r="E128" s="7" t="s">
        <v>248</v>
      </c>
      <c r="F128" s="7" t="s">
        <v>249</v>
      </c>
      <c r="G128" s="17" t="s">
        <v>374</v>
      </c>
      <c r="I128" s="33">
        <v>45257</v>
      </c>
      <c r="J128" s="27">
        <f t="shared" si="0"/>
        <v>1181189.1891891891</v>
      </c>
      <c r="K128" s="27">
        <f t="shared" si="1"/>
        <v>129930.8108108108</v>
      </c>
      <c r="L128" s="25">
        <v>1311120</v>
      </c>
    </row>
    <row r="129" spans="1:12" x14ac:dyDescent="0.25">
      <c r="A129" s="12">
        <v>38</v>
      </c>
      <c r="B129" s="30" t="s">
        <v>375</v>
      </c>
      <c r="C129" s="25" t="s">
        <v>376</v>
      </c>
      <c r="D129" s="7" t="s">
        <v>241</v>
      </c>
      <c r="E129" s="7" t="s">
        <v>242</v>
      </c>
      <c r="F129" s="7" t="s">
        <v>243</v>
      </c>
      <c r="G129" s="17" t="s">
        <v>377</v>
      </c>
      <c r="I129" s="33">
        <v>45259</v>
      </c>
      <c r="J129" s="27">
        <f t="shared" si="0"/>
        <v>6720157.6576576568</v>
      </c>
      <c r="K129" s="27">
        <f t="shared" si="1"/>
        <v>739217.34234234225</v>
      </c>
      <c r="L129" s="25">
        <v>7459375</v>
      </c>
    </row>
    <row r="130" spans="1:12" x14ac:dyDescent="0.25">
      <c r="A130" s="12">
        <v>39</v>
      </c>
      <c r="B130" s="30" t="s">
        <v>378</v>
      </c>
      <c r="C130" s="25" t="s">
        <v>379</v>
      </c>
      <c r="D130" s="28" t="s">
        <v>320</v>
      </c>
      <c r="E130" s="28" t="s">
        <v>321</v>
      </c>
      <c r="F130" s="28" t="s">
        <v>322</v>
      </c>
      <c r="G130" s="17" t="s">
        <v>380</v>
      </c>
      <c r="I130" s="33">
        <v>45259</v>
      </c>
      <c r="J130" s="27">
        <f t="shared" si="0"/>
        <v>1579135.1351351349</v>
      </c>
      <c r="K130" s="27">
        <f t="shared" si="1"/>
        <v>173704.86486486485</v>
      </c>
      <c r="L130" s="25">
        <v>1752840</v>
      </c>
    </row>
    <row r="131" spans="1:12" x14ac:dyDescent="0.25">
      <c r="A131" s="12">
        <v>40</v>
      </c>
      <c r="B131" s="30" t="s">
        <v>381</v>
      </c>
      <c r="C131" s="25" t="s">
        <v>382</v>
      </c>
      <c r="D131" s="7" t="s">
        <v>233</v>
      </c>
      <c r="E131" s="28" t="s">
        <v>234</v>
      </c>
      <c r="F131" s="7" t="s">
        <v>229</v>
      </c>
      <c r="G131" s="17" t="s">
        <v>383</v>
      </c>
      <c r="I131" s="33">
        <v>45260</v>
      </c>
      <c r="J131" s="27">
        <f t="shared" si="0"/>
        <v>37023870.270270266</v>
      </c>
      <c r="K131" s="27">
        <f t="shared" si="1"/>
        <v>4072625.7297297292</v>
      </c>
      <c r="L131" s="25">
        <v>41096496</v>
      </c>
    </row>
    <row r="132" spans="1:12" x14ac:dyDescent="0.25">
      <c r="A132" s="12">
        <v>41</v>
      </c>
      <c r="B132" s="30" t="s">
        <v>384</v>
      </c>
      <c r="C132" s="25" t="s">
        <v>385</v>
      </c>
      <c r="D132" s="7" t="s">
        <v>386</v>
      </c>
      <c r="E132" s="7" t="s">
        <v>387</v>
      </c>
      <c r="F132" s="7" t="s">
        <v>229</v>
      </c>
      <c r="G132" s="17" t="s">
        <v>388</v>
      </c>
      <c r="I132" s="33">
        <v>45260</v>
      </c>
      <c r="J132" s="27">
        <f t="shared" si="0"/>
        <v>231567.56756756754</v>
      </c>
      <c r="K132" s="27">
        <f t="shared" si="1"/>
        <v>25472.43243243243</v>
      </c>
      <c r="L132" s="25">
        <v>257040</v>
      </c>
    </row>
    <row r="133" spans="1:12" x14ac:dyDescent="0.25">
      <c r="A133" s="12">
        <v>42</v>
      </c>
      <c r="B133" s="30" t="s">
        <v>389</v>
      </c>
      <c r="C133" s="25" t="s">
        <v>390</v>
      </c>
      <c r="D133" s="29" t="s">
        <v>274</v>
      </c>
      <c r="E133" s="7" t="s">
        <v>275</v>
      </c>
      <c r="F133" s="7" t="s">
        <v>229</v>
      </c>
      <c r="G133" s="17" t="s">
        <v>391</v>
      </c>
      <c r="I133" s="33">
        <v>45260</v>
      </c>
      <c r="J133" s="27">
        <f t="shared" si="0"/>
        <v>1833380.1801801801</v>
      </c>
      <c r="K133" s="27">
        <f t="shared" si="1"/>
        <v>201671.81981981982</v>
      </c>
      <c r="L133" s="25">
        <v>2035052</v>
      </c>
    </row>
    <row r="134" spans="1:12" x14ac:dyDescent="0.25">
      <c r="A134" s="12">
        <v>43</v>
      </c>
      <c r="B134" s="30" t="s">
        <v>392</v>
      </c>
      <c r="C134" s="25" t="s">
        <v>393</v>
      </c>
      <c r="D134" s="7" t="s">
        <v>241</v>
      </c>
      <c r="E134" s="7" t="s">
        <v>242</v>
      </c>
      <c r="F134" s="7" t="s">
        <v>243</v>
      </c>
      <c r="G134" s="17" t="s">
        <v>394</v>
      </c>
      <c r="I134" s="33">
        <v>45260</v>
      </c>
      <c r="J134" s="27">
        <f t="shared" si="0"/>
        <v>15634594.594594594</v>
      </c>
      <c r="K134" s="27">
        <f t="shared" si="1"/>
        <v>1719805.4054054054</v>
      </c>
      <c r="L134" s="25">
        <v>17354400</v>
      </c>
    </row>
    <row r="135" spans="1:12" x14ac:dyDescent="0.25">
      <c r="A135" s="12">
        <v>59</v>
      </c>
      <c r="B135" s="30" t="s">
        <v>395</v>
      </c>
      <c r="C135" s="25" t="s">
        <v>396</v>
      </c>
      <c r="D135" s="7" t="s">
        <v>308</v>
      </c>
      <c r="E135" s="7" t="s">
        <v>309</v>
      </c>
      <c r="F135" s="7" t="s">
        <v>310</v>
      </c>
      <c r="G135" s="17" t="s">
        <v>397</v>
      </c>
      <c r="I135" s="33">
        <v>45237</v>
      </c>
      <c r="J135" s="27">
        <f t="shared" si="0"/>
        <v>4058108.1081081079</v>
      </c>
      <c r="K135" s="27">
        <f t="shared" si="1"/>
        <v>446391.89189189189</v>
      </c>
      <c r="L135" s="25">
        <v>4504500</v>
      </c>
    </row>
    <row r="136" spans="1:12" x14ac:dyDescent="0.25">
      <c r="A136" s="36">
        <v>44</v>
      </c>
      <c r="B136" s="41" t="s">
        <v>398</v>
      </c>
      <c r="C136" s="25" t="s">
        <v>399</v>
      </c>
      <c r="D136" s="28"/>
      <c r="E136" s="28" t="s">
        <v>400</v>
      </c>
      <c r="F136" s="28" t="s">
        <v>401</v>
      </c>
      <c r="G136" s="29"/>
      <c r="I136" s="38">
        <v>45231</v>
      </c>
      <c r="J136" s="27">
        <f t="shared" ref="J136:J167" si="2">L136/1.11</f>
        <v>10738345.045045044</v>
      </c>
      <c r="K136" s="27">
        <f t="shared" ref="K136:K167" si="3">J136*11%</f>
        <v>1181217.9549549548</v>
      </c>
      <c r="L136" s="25">
        <f>4627313+6063750+1228500</f>
        <v>11919563</v>
      </c>
    </row>
    <row r="137" spans="1:12" x14ac:dyDescent="0.25">
      <c r="A137" s="36">
        <v>45</v>
      </c>
      <c r="B137" s="41" t="s">
        <v>402</v>
      </c>
      <c r="C137" s="25" t="s">
        <v>403</v>
      </c>
      <c r="D137" s="28"/>
      <c r="E137" s="28" t="s">
        <v>404</v>
      </c>
      <c r="F137" s="28" t="s">
        <v>229</v>
      </c>
      <c r="G137" s="29"/>
      <c r="I137" s="38">
        <v>45231</v>
      </c>
      <c r="J137" s="27">
        <f t="shared" si="2"/>
        <v>3338198.1981981979</v>
      </c>
      <c r="K137" s="27">
        <f t="shared" si="3"/>
        <v>367201.80180180178</v>
      </c>
      <c r="L137" s="25">
        <f>868600+1994400+842400</f>
        <v>3705400</v>
      </c>
    </row>
    <row r="138" spans="1:12" x14ac:dyDescent="0.25">
      <c r="A138" s="36">
        <v>46</v>
      </c>
      <c r="B138" s="30" t="s">
        <v>409</v>
      </c>
      <c r="C138" s="25" t="s">
        <v>410</v>
      </c>
      <c r="D138" s="7"/>
      <c r="E138" s="7" t="s">
        <v>411</v>
      </c>
      <c r="F138" s="7" t="s">
        <v>412</v>
      </c>
      <c r="G138" s="17"/>
      <c r="I138" s="33">
        <v>45231</v>
      </c>
      <c r="J138" s="27">
        <f t="shared" si="2"/>
        <v>1590810.8108108107</v>
      </c>
      <c r="K138" s="27">
        <f t="shared" si="3"/>
        <v>174989.18918918917</v>
      </c>
      <c r="L138" s="25">
        <f>1360800+405000</f>
        <v>1765800</v>
      </c>
    </row>
    <row r="139" spans="1:12" x14ac:dyDescent="0.25">
      <c r="A139" s="12">
        <v>47</v>
      </c>
      <c r="B139" s="30" t="s">
        <v>413</v>
      </c>
      <c r="C139" s="25" t="s">
        <v>414</v>
      </c>
      <c r="D139" s="7"/>
      <c r="E139" s="7" t="s">
        <v>415</v>
      </c>
      <c r="F139" s="7" t="s">
        <v>340</v>
      </c>
      <c r="G139" s="17"/>
      <c r="I139" s="33">
        <v>45231</v>
      </c>
      <c r="J139" s="27">
        <f t="shared" si="2"/>
        <v>2868567.5675675673</v>
      </c>
      <c r="K139" s="27">
        <f t="shared" si="3"/>
        <v>315542.43243243243</v>
      </c>
      <c r="L139" s="25">
        <f>1452510+1731600</f>
        <v>3184110</v>
      </c>
    </row>
    <row r="140" spans="1:12" x14ac:dyDescent="0.25">
      <c r="A140" s="19">
        <v>48</v>
      </c>
      <c r="B140" s="30" t="s">
        <v>656</v>
      </c>
      <c r="C140" s="25" t="s">
        <v>657</v>
      </c>
      <c r="D140" s="7"/>
      <c r="E140" s="7" t="s">
        <v>658</v>
      </c>
      <c r="F140" s="7" t="s">
        <v>595</v>
      </c>
      <c r="G140" s="17"/>
      <c r="I140" s="33">
        <v>45231</v>
      </c>
      <c r="J140" s="27">
        <f t="shared" si="2"/>
        <v>40591896.396396391</v>
      </c>
      <c r="K140" s="27">
        <f t="shared" si="3"/>
        <v>4465108.6036036033</v>
      </c>
      <c r="L140" s="25">
        <v>45057005</v>
      </c>
    </row>
    <row r="141" spans="1:12" x14ac:dyDescent="0.25">
      <c r="A141" s="36">
        <v>49</v>
      </c>
      <c r="B141" s="30" t="s">
        <v>818</v>
      </c>
      <c r="C141" s="25" t="s">
        <v>819</v>
      </c>
      <c r="D141" s="7"/>
      <c r="E141" s="7" t="s">
        <v>658</v>
      </c>
      <c r="F141" s="7" t="s">
        <v>472</v>
      </c>
      <c r="G141" s="7"/>
      <c r="I141" s="33">
        <v>45231</v>
      </c>
      <c r="J141" s="27">
        <f t="shared" si="2"/>
        <v>40591895.495495491</v>
      </c>
      <c r="K141" s="27">
        <f t="shared" si="3"/>
        <v>4465108.5045045037</v>
      </c>
      <c r="L141" s="25">
        <f>45057004</f>
        <v>45057004</v>
      </c>
    </row>
    <row r="142" spans="1:12" x14ac:dyDescent="0.25">
      <c r="A142" s="19">
        <v>50</v>
      </c>
      <c r="B142" s="41" t="s">
        <v>416</v>
      </c>
      <c r="C142" s="25" t="s">
        <v>417</v>
      </c>
      <c r="D142" s="28"/>
      <c r="E142" s="28" t="s">
        <v>418</v>
      </c>
      <c r="F142" s="28" t="s">
        <v>419</v>
      </c>
      <c r="G142" s="29"/>
      <c r="I142" s="38">
        <v>45232</v>
      </c>
      <c r="J142" s="27">
        <f t="shared" si="2"/>
        <v>4863162.1621621614</v>
      </c>
      <c r="K142" s="27">
        <f t="shared" si="3"/>
        <v>534947.83783783775</v>
      </c>
      <c r="L142" s="25">
        <f>2964060+432000+2002050</f>
        <v>5398110</v>
      </c>
    </row>
    <row r="143" spans="1:12" x14ac:dyDescent="0.25">
      <c r="A143" s="19">
        <v>51</v>
      </c>
      <c r="B143" s="30" t="s">
        <v>420</v>
      </c>
      <c r="C143" s="25" t="s">
        <v>421</v>
      </c>
      <c r="D143" s="7"/>
      <c r="E143" s="7" t="s">
        <v>422</v>
      </c>
      <c r="F143" s="7" t="s">
        <v>423</v>
      </c>
      <c r="G143" s="17"/>
      <c r="I143" s="33">
        <v>45232</v>
      </c>
      <c r="J143" s="27">
        <f t="shared" si="2"/>
        <v>3967567.5675675673</v>
      </c>
      <c r="K143" s="27">
        <f t="shared" si="3"/>
        <v>436432.43243243243</v>
      </c>
      <c r="L143" s="25">
        <v>4404000</v>
      </c>
    </row>
    <row r="144" spans="1:12" x14ac:dyDescent="0.25">
      <c r="A144" s="19">
        <v>52</v>
      </c>
      <c r="B144" s="30" t="s">
        <v>428</v>
      </c>
      <c r="C144" s="25" t="s">
        <v>429</v>
      </c>
      <c r="D144" s="7"/>
      <c r="E144" s="7" t="s">
        <v>430</v>
      </c>
      <c r="F144" s="7" t="s">
        <v>401</v>
      </c>
      <c r="G144" s="17"/>
      <c r="I144" s="33">
        <v>45232</v>
      </c>
      <c r="J144" s="27">
        <f t="shared" si="2"/>
        <v>4427027.0270270268</v>
      </c>
      <c r="K144" s="27">
        <f t="shared" si="3"/>
        <v>486972.97297297296</v>
      </c>
      <c r="L144" s="25">
        <v>4914000</v>
      </c>
    </row>
    <row r="145" spans="1:12" x14ac:dyDescent="0.25">
      <c r="A145" s="19">
        <v>53</v>
      </c>
      <c r="B145" s="30" t="s">
        <v>431</v>
      </c>
      <c r="C145" s="25" t="s">
        <v>432</v>
      </c>
      <c r="D145" s="7"/>
      <c r="E145" s="7" t="s">
        <v>433</v>
      </c>
      <c r="F145" s="7" t="s">
        <v>434</v>
      </c>
      <c r="G145" s="17"/>
      <c r="I145" s="34">
        <v>45232</v>
      </c>
      <c r="J145" s="27">
        <f t="shared" si="2"/>
        <v>6574405.405405405</v>
      </c>
      <c r="K145" s="27">
        <f t="shared" si="3"/>
        <v>723184.59459459456</v>
      </c>
      <c r="L145" s="25">
        <f>1150200+3651840+2495550</f>
        <v>7297590</v>
      </c>
    </row>
    <row r="146" spans="1:12" x14ac:dyDescent="0.25">
      <c r="A146" s="19">
        <v>54</v>
      </c>
      <c r="B146" s="41" t="s">
        <v>441</v>
      </c>
      <c r="C146" s="25" t="s">
        <v>442</v>
      </c>
      <c r="D146" s="28"/>
      <c r="E146" s="42" t="s">
        <v>443</v>
      </c>
      <c r="F146" s="28" t="s">
        <v>444</v>
      </c>
      <c r="G146" s="29"/>
      <c r="I146" s="38">
        <v>45232</v>
      </c>
      <c r="J146" s="27">
        <f t="shared" si="2"/>
        <v>6468378.3783783782</v>
      </c>
      <c r="K146" s="27">
        <f t="shared" si="3"/>
        <v>711521.62162162166</v>
      </c>
      <c r="L146" s="25">
        <f>2942450+1682100+2555350</f>
        <v>7179900</v>
      </c>
    </row>
    <row r="147" spans="1:12" x14ac:dyDescent="0.25">
      <c r="A147" s="19">
        <v>55</v>
      </c>
      <c r="B147" s="30" t="s">
        <v>445</v>
      </c>
      <c r="C147" s="25" t="s">
        <v>446</v>
      </c>
      <c r="D147" s="7"/>
      <c r="E147" s="7" t="s">
        <v>447</v>
      </c>
      <c r="F147" s="7" t="s">
        <v>412</v>
      </c>
      <c r="G147" s="17"/>
      <c r="I147" s="33">
        <v>45232</v>
      </c>
      <c r="J147" s="27">
        <f t="shared" si="2"/>
        <v>2349729.7297297297</v>
      </c>
      <c r="K147" s="27">
        <f t="shared" si="3"/>
        <v>258470.27027027027</v>
      </c>
      <c r="L147" s="25">
        <v>2608200</v>
      </c>
    </row>
    <row r="148" spans="1:12" x14ac:dyDescent="0.25">
      <c r="A148" s="36">
        <v>56</v>
      </c>
      <c r="B148" s="41" t="s">
        <v>448</v>
      </c>
      <c r="C148" s="25" t="s">
        <v>449</v>
      </c>
      <c r="D148" s="28"/>
      <c r="E148" s="28" t="s">
        <v>450</v>
      </c>
      <c r="F148" s="28" t="s">
        <v>451</v>
      </c>
      <c r="G148" s="29"/>
      <c r="I148" s="38">
        <v>45232</v>
      </c>
      <c r="J148" s="27">
        <f t="shared" si="2"/>
        <v>14452072.07207207</v>
      </c>
      <c r="K148" s="27">
        <f t="shared" si="3"/>
        <v>1589727.9279279278</v>
      </c>
      <c r="L148" s="25">
        <f>4888800+9828000+1325000</f>
        <v>16041800</v>
      </c>
    </row>
    <row r="149" spans="1:12" x14ac:dyDescent="0.25">
      <c r="A149" s="19">
        <v>57</v>
      </c>
      <c r="B149" s="41" t="s">
        <v>405</v>
      </c>
      <c r="C149" s="25" t="s">
        <v>406</v>
      </c>
      <c r="D149" s="28"/>
      <c r="E149" s="28" t="s">
        <v>407</v>
      </c>
      <c r="F149" s="28" t="s">
        <v>408</v>
      </c>
      <c r="G149" s="29"/>
      <c r="I149" s="38">
        <v>45233</v>
      </c>
      <c r="J149" s="27">
        <f t="shared" si="2"/>
        <v>9433918.9189189188</v>
      </c>
      <c r="K149" s="27">
        <f t="shared" si="3"/>
        <v>1037731.0810810811</v>
      </c>
      <c r="L149" s="25">
        <f>420000+5733000+4318650</f>
        <v>10471650</v>
      </c>
    </row>
    <row r="150" spans="1:12" x14ac:dyDescent="0.25">
      <c r="A150" s="36">
        <v>58</v>
      </c>
      <c r="B150" s="30" t="s">
        <v>452</v>
      </c>
      <c r="C150" s="25" t="s">
        <v>453</v>
      </c>
      <c r="D150" s="7"/>
      <c r="E150" s="7" t="s">
        <v>454</v>
      </c>
      <c r="F150" s="7" t="s">
        <v>455</v>
      </c>
      <c r="G150" s="17"/>
      <c r="I150" s="33">
        <v>45233</v>
      </c>
      <c r="J150" s="27">
        <f t="shared" si="2"/>
        <v>1829189.1891891891</v>
      </c>
      <c r="K150" s="27">
        <f t="shared" si="3"/>
        <v>201210.8108108108</v>
      </c>
      <c r="L150" s="25">
        <v>2030400</v>
      </c>
    </row>
    <row r="151" spans="1:12" x14ac:dyDescent="0.25">
      <c r="A151" s="19">
        <v>60</v>
      </c>
      <c r="B151" s="41" t="s">
        <v>456</v>
      </c>
      <c r="C151" s="25" t="s">
        <v>457</v>
      </c>
      <c r="D151" s="28"/>
      <c r="E151" s="28" t="s">
        <v>458</v>
      </c>
      <c r="F151" s="28" t="s">
        <v>455</v>
      </c>
      <c r="G151" s="29"/>
      <c r="I151" s="38">
        <v>45233</v>
      </c>
      <c r="J151" s="27">
        <f t="shared" si="2"/>
        <v>4327783.7837837832</v>
      </c>
      <c r="K151" s="27">
        <f t="shared" si="3"/>
        <v>476056.21621621615</v>
      </c>
      <c r="L151" s="25">
        <f>1134000+2805840+864000</f>
        <v>4803840</v>
      </c>
    </row>
    <row r="152" spans="1:12" x14ac:dyDescent="0.25">
      <c r="A152" s="36">
        <v>61</v>
      </c>
      <c r="B152" s="30" t="s">
        <v>459</v>
      </c>
      <c r="C152" s="25" t="s">
        <v>460</v>
      </c>
      <c r="D152" s="7"/>
      <c r="E152" s="7" t="s">
        <v>447</v>
      </c>
      <c r="F152" s="7" t="s">
        <v>461</v>
      </c>
      <c r="G152" s="17"/>
      <c r="I152" s="33">
        <v>45233</v>
      </c>
      <c r="J152" s="27">
        <f t="shared" si="2"/>
        <v>2720495.4954954954</v>
      </c>
      <c r="K152" s="27">
        <f t="shared" si="3"/>
        <v>299254.5045045045</v>
      </c>
      <c r="L152" s="25">
        <f>519750+2500000</f>
        <v>3019750</v>
      </c>
    </row>
    <row r="153" spans="1:12" x14ac:dyDescent="0.25">
      <c r="A153" s="19">
        <v>62</v>
      </c>
      <c r="B153" s="41" t="s">
        <v>462</v>
      </c>
      <c r="C153" s="25" t="s">
        <v>463</v>
      </c>
      <c r="D153" s="28"/>
      <c r="E153" s="28" t="s">
        <v>464</v>
      </c>
      <c r="F153" s="28" t="s">
        <v>465</v>
      </c>
      <c r="G153" s="29"/>
      <c r="I153" s="38">
        <v>45233</v>
      </c>
      <c r="J153" s="27">
        <f t="shared" si="2"/>
        <v>7526070.2702702694</v>
      </c>
      <c r="K153" s="27">
        <f t="shared" si="3"/>
        <v>827867.72972972959</v>
      </c>
      <c r="L153" s="25">
        <f>1039500+867913+6446525</f>
        <v>8353938</v>
      </c>
    </row>
    <row r="154" spans="1:12" x14ac:dyDescent="0.25">
      <c r="A154" s="36">
        <v>63</v>
      </c>
      <c r="B154" s="41" t="s">
        <v>466</v>
      </c>
      <c r="C154" s="25" t="s">
        <v>467</v>
      </c>
      <c r="D154" s="28"/>
      <c r="E154" s="28" t="s">
        <v>468</v>
      </c>
      <c r="F154" s="28" t="s">
        <v>270</v>
      </c>
      <c r="G154" s="29"/>
      <c r="I154" s="38">
        <v>45233</v>
      </c>
      <c r="J154" s="27">
        <f t="shared" si="2"/>
        <v>31222162.162162159</v>
      </c>
      <c r="K154" s="27">
        <f t="shared" si="3"/>
        <v>3434437.8378378376</v>
      </c>
      <c r="L154" s="25">
        <f>3402000+19364750+11889850</f>
        <v>34656600</v>
      </c>
    </row>
    <row r="155" spans="1:12" x14ac:dyDescent="0.25">
      <c r="A155" s="36">
        <v>64</v>
      </c>
      <c r="B155" s="41" t="s">
        <v>469</v>
      </c>
      <c r="C155" s="25" t="s">
        <v>470</v>
      </c>
      <c r="D155" s="28"/>
      <c r="E155" s="28" t="s">
        <v>471</v>
      </c>
      <c r="F155" s="28" t="s">
        <v>472</v>
      </c>
      <c r="G155" s="29"/>
      <c r="I155" s="38">
        <v>45234</v>
      </c>
      <c r="J155" s="27">
        <f t="shared" si="2"/>
        <v>4964504.5045045037</v>
      </c>
      <c r="K155" s="27">
        <f t="shared" si="3"/>
        <v>546095.49549549539</v>
      </c>
      <c r="L155" s="25">
        <f>880020+4524740+105840</f>
        <v>5510600</v>
      </c>
    </row>
    <row r="156" spans="1:12" x14ac:dyDescent="0.25">
      <c r="A156" s="36">
        <v>65</v>
      </c>
      <c r="B156" s="30" t="s">
        <v>473</v>
      </c>
      <c r="C156" s="25" t="s">
        <v>474</v>
      </c>
      <c r="D156" s="7"/>
      <c r="E156" s="7" t="s">
        <v>475</v>
      </c>
      <c r="F156" s="7" t="s">
        <v>423</v>
      </c>
      <c r="G156" s="17"/>
      <c r="I156" s="33">
        <v>45234</v>
      </c>
      <c r="J156" s="27">
        <f t="shared" si="2"/>
        <v>7500459.4594594585</v>
      </c>
      <c r="K156" s="27">
        <f t="shared" si="3"/>
        <v>825050.54054054047</v>
      </c>
      <c r="L156" s="25">
        <f>3870990+1921320+2533200</f>
        <v>8325510</v>
      </c>
    </row>
    <row r="157" spans="1:12" x14ac:dyDescent="0.25">
      <c r="A157" s="19">
        <v>66</v>
      </c>
      <c r="B157" s="30" t="s">
        <v>480</v>
      </c>
      <c r="C157" s="25" t="s">
        <v>481</v>
      </c>
      <c r="D157" s="7"/>
      <c r="E157" s="7" t="s">
        <v>482</v>
      </c>
      <c r="F157" s="7" t="s">
        <v>465</v>
      </c>
      <c r="G157" s="17"/>
      <c r="I157" s="33">
        <v>45234</v>
      </c>
      <c r="J157" s="27">
        <f t="shared" si="2"/>
        <v>1881981.9819819818</v>
      </c>
      <c r="K157" s="27">
        <f t="shared" si="3"/>
        <v>207018.01801801799</v>
      </c>
      <c r="L157" s="25">
        <f>1089000+1000000</f>
        <v>2089000</v>
      </c>
    </row>
    <row r="158" spans="1:12" x14ac:dyDescent="0.25">
      <c r="A158" s="36">
        <v>67</v>
      </c>
      <c r="B158" s="30" t="s">
        <v>727</v>
      </c>
      <c r="C158" s="43" t="s">
        <v>728</v>
      </c>
      <c r="D158" s="7"/>
      <c r="E158" s="7" t="s">
        <v>658</v>
      </c>
      <c r="F158" s="7" t="s">
        <v>595</v>
      </c>
      <c r="G158" s="7"/>
      <c r="I158" s="33">
        <v>45234</v>
      </c>
      <c r="J158" s="27">
        <f t="shared" si="2"/>
        <v>45081081.081081077</v>
      </c>
      <c r="K158" s="27">
        <f t="shared" si="3"/>
        <v>4958918.9189189188</v>
      </c>
      <c r="L158" s="25">
        <f>25000+15000+50000000</f>
        <v>50040000</v>
      </c>
    </row>
    <row r="159" spans="1:12" x14ac:dyDescent="0.25">
      <c r="A159" s="19">
        <v>68</v>
      </c>
      <c r="B159" s="41" t="s">
        <v>808</v>
      </c>
      <c r="C159" s="25" t="s">
        <v>809</v>
      </c>
      <c r="D159" s="28"/>
      <c r="E159" s="28" t="s">
        <v>810</v>
      </c>
      <c r="F159" s="28" t="s">
        <v>622</v>
      </c>
      <c r="G159" s="28"/>
      <c r="I159" s="38">
        <v>45234</v>
      </c>
      <c r="J159" s="27">
        <f t="shared" si="2"/>
        <v>17258828.828828827</v>
      </c>
      <c r="K159" s="27">
        <f t="shared" si="3"/>
        <v>1898471.1711711709</v>
      </c>
      <c r="L159" s="25">
        <f>1764500+939000+2849500+280000+2509000+2803300+4860000+2825000+90000+237000</f>
        <v>19157300</v>
      </c>
    </row>
    <row r="160" spans="1:12" x14ac:dyDescent="0.25">
      <c r="A160" s="19">
        <v>69</v>
      </c>
      <c r="B160" s="30" t="s">
        <v>820</v>
      </c>
      <c r="C160" s="25" t="s">
        <v>821</v>
      </c>
      <c r="D160" s="7"/>
      <c r="E160" s="7" t="s">
        <v>658</v>
      </c>
      <c r="F160" s="7" t="s">
        <v>293</v>
      </c>
      <c r="G160" s="7"/>
      <c r="I160" s="33">
        <v>45234</v>
      </c>
      <c r="J160" s="27">
        <f t="shared" si="2"/>
        <v>40591895.495495491</v>
      </c>
      <c r="K160" s="27">
        <f t="shared" si="3"/>
        <v>4465108.5045045037</v>
      </c>
      <c r="L160" s="25">
        <f>45057004</f>
        <v>45057004</v>
      </c>
    </row>
    <row r="161" spans="1:12" x14ac:dyDescent="0.25">
      <c r="A161" s="19">
        <v>70</v>
      </c>
      <c r="B161" s="30" t="s">
        <v>424</v>
      </c>
      <c r="C161" s="25" t="s">
        <v>425</v>
      </c>
      <c r="D161" s="7"/>
      <c r="E161" s="7" t="s">
        <v>426</v>
      </c>
      <c r="F161" s="7" t="s">
        <v>427</v>
      </c>
      <c r="G161" s="17"/>
      <c r="I161" s="33">
        <v>45236</v>
      </c>
      <c r="J161" s="27">
        <f t="shared" si="2"/>
        <v>4427027.0270270268</v>
      </c>
      <c r="K161" s="27">
        <f t="shared" si="3"/>
        <v>486972.97297297296</v>
      </c>
      <c r="L161" s="25">
        <v>4914000</v>
      </c>
    </row>
    <row r="162" spans="1:12" x14ac:dyDescent="0.25">
      <c r="A162" s="19">
        <v>71</v>
      </c>
      <c r="B162" s="30" t="s">
        <v>435</v>
      </c>
      <c r="C162" s="25" t="s">
        <v>436</v>
      </c>
      <c r="D162" s="7"/>
      <c r="E162" s="7" t="s">
        <v>437</v>
      </c>
      <c r="F162" s="7" t="s">
        <v>249</v>
      </c>
      <c r="G162" s="17"/>
      <c r="I162" s="33">
        <v>45236</v>
      </c>
      <c r="J162" s="27">
        <f t="shared" si="2"/>
        <v>1644324.3243243243</v>
      </c>
      <c r="K162" s="27">
        <f t="shared" si="3"/>
        <v>180875.67567567568</v>
      </c>
      <c r="L162" s="25">
        <f>1676700+148500</f>
        <v>1825200</v>
      </c>
    </row>
    <row r="163" spans="1:12" x14ac:dyDescent="0.25">
      <c r="A163" s="19">
        <v>72</v>
      </c>
      <c r="B163" s="30" t="s">
        <v>438</v>
      </c>
      <c r="C163" s="25" t="s">
        <v>439</v>
      </c>
      <c r="D163" s="7"/>
      <c r="E163" s="7" t="s">
        <v>440</v>
      </c>
      <c r="F163" s="7" t="s">
        <v>427</v>
      </c>
      <c r="G163" s="17"/>
      <c r="I163" s="33">
        <v>45236</v>
      </c>
      <c r="J163" s="27">
        <f t="shared" si="2"/>
        <v>2669819.8198198196</v>
      </c>
      <c r="K163" s="27">
        <f t="shared" si="3"/>
        <v>293680.18018018018</v>
      </c>
      <c r="L163" s="25">
        <f>1963500+1000000</f>
        <v>2963500</v>
      </c>
    </row>
    <row r="164" spans="1:12" x14ac:dyDescent="0.25">
      <c r="A164" s="19">
        <v>73</v>
      </c>
      <c r="B164" s="41" t="s">
        <v>476</v>
      </c>
      <c r="C164" s="25" t="s">
        <v>477</v>
      </c>
      <c r="D164" s="28"/>
      <c r="E164" s="28" t="s">
        <v>478</v>
      </c>
      <c r="F164" s="28" t="s">
        <v>479</v>
      </c>
      <c r="G164" s="29"/>
      <c r="I164" s="38">
        <v>45236</v>
      </c>
      <c r="J164" s="27">
        <f t="shared" si="2"/>
        <v>2811810.8108108104</v>
      </c>
      <c r="K164" s="27">
        <f t="shared" si="3"/>
        <v>309299.18918918917</v>
      </c>
      <c r="L164" s="25">
        <f>2328360+388500+404250</f>
        <v>3121110</v>
      </c>
    </row>
    <row r="165" spans="1:12" x14ac:dyDescent="0.25">
      <c r="A165" s="19">
        <v>74</v>
      </c>
      <c r="B165" s="30" t="s">
        <v>483</v>
      </c>
      <c r="C165" s="25" t="s">
        <v>484</v>
      </c>
      <c r="D165" s="7"/>
      <c r="E165" s="7" t="s">
        <v>482</v>
      </c>
      <c r="F165" s="7" t="s">
        <v>229</v>
      </c>
      <c r="G165" s="17"/>
      <c r="I165" s="33">
        <v>45236</v>
      </c>
      <c r="J165" s="27">
        <f t="shared" si="2"/>
        <v>2883103.6036036033</v>
      </c>
      <c r="K165" s="27">
        <f t="shared" si="3"/>
        <v>317141.39639639639</v>
      </c>
      <c r="L165" s="25">
        <f>700245+2500000</f>
        <v>3200245</v>
      </c>
    </row>
    <row r="166" spans="1:12" x14ac:dyDescent="0.25">
      <c r="A166" s="19">
        <v>75</v>
      </c>
      <c r="B166" s="30" t="s">
        <v>485</v>
      </c>
      <c r="C166" s="25" t="s">
        <v>486</v>
      </c>
      <c r="D166" s="7"/>
      <c r="E166" s="7" t="s">
        <v>487</v>
      </c>
      <c r="F166" s="7" t="s">
        <v>488</v>
      </c>
      <c r="G166" s="17"/>
      <c r="I166" s="33">
        <v>45236</v>
      </c>
      <c r="J166" s="27">
        <f t="shared" si="2"/>
        <v>3810810.8108108104</v>
      </c>
      <c r="K166" s="27">
        <f t="shared" si="3"/>
        <v>419189.18918918917</v>
      </c>
      <c r="L166" s="25">
        <f>1710000+2520000</f>
        <v>4230000</v>
      </c>
    </row>
    <row r="167" spans="1:12" x14ac:dyDescent="0.25">
      <c r="A167" s="36">
        <v>76</v>
      </c>
      <c r="B167" s="30" t="s">
        <v>489</v>
      </c>
      <c r="C167" s="25" t="s">
        <v>490</v>
      </c>
      <c r="D167" s="7"/>
      <c r="E167" s="7" t="s">
        <v>491</v>
      </c>
      <c r="F167" s="7" t="s">
        <v>492</v>
      </c>
      <c r="G167" s="17"/>
      <c r="I167" s="33">
        <v>45236</v>
      </c>
      <c r="J167" s="27">
        <f t="shared" si="2"/>
        <v>2850630.6306306305</v>
      </c>
      <c r="K167" s="27">
        <f t="shared" si="3"/>
        <v>313569.36936936935</v>
      </c>
      <c r="L167" s="25">
        <f>664200+2500000</f>
        <v>3164200</v>
      </c>
    </row>
    <row r="168" spans="1:12" x14ac:dyDescent="0.25">
      <c r="A168" s="19">
        <v>77</v>
      </c>
      <c r="B168" s="30" t="s">
        <v>493</v>
      </c>
      <c r="C168" s="25" t="s">
        <v>494</v>
      </c>
      <c r="D168" s="7"/>
      <c r="E168" s="7" t="s">
        <v>495</v>
      </c>
      <c r="F168" s="7" t="s">
        <v>229</v>
      </c>
      <c r="G168" s="17"/>
      <c r="I168" s="33">
        <v>45236</v>
      </c>
      <c r="J168" s="27">
        <f t="shared" ref="J168:J199" si="4">L168/1.11</f>
        <v>5514414.4144144142</v>
      </c>
      <c r="K168" s="27">
        <f t="shared" ref="K168:K199" si="5">J168*11%</f>
        <v>606585.58558558556</v>
      </c>
      <c r="L168" s="25">
        <f>2325000+3796000</f>
        <v>6121000</v>
      </c>
    </row>
    <row r="169" spans="1:12" x14ac:dyDescent="0.25">
      <c r="A169" s="19">
        <v>78</v>
      </c>
      <c r="B169" s="41" t="s">
        <v>542</v>
      </c>
      <c r="C169" s="25" t="s">
        <v>543</v>
      </c>
      <c r="D169" s="28"/>
      <c r="E169" s="28" t="s">
        <v>544</v>
      </c>
      <c r="F169" s="28" t="s">
        <v>461</v>
      </c>
      <c r="G169" s="29"/>
      <c r="I169" s="38">
        <v>45236</v>
      </c>
      <c r="J169" s="27">
        <f t="shared" si="4"/>
        <v>9866216.2162162159</v>
      </c>
      <c r="K169" s="27">
        <f t="shared" si="5"/>
        <v>1085283.7837837837</v>
      </c>
      <c r="L169" s="25">
        <f>8190000+1627500+1134000</f>
        <v>10951500</v>
      </c>
    </row>
    <row r="170" spans="1:12" x14ac:dyDescent="0.25">
      <c r="A170" s="19">
        <v>79</v>
      </c>
      <c r="B170" s="41" t="s">
        <v>545</v>
      </c>
      <c r="C170" s="25" t="s">
        <v>546</v>
      </c>
      <c r="D170" s="28"/>
      <c r="E170" s="28" t="s">
        <v>547</v>
      </c>
      <c r="F170" s="28" t="s">
        <v>419</v>
      </c>
      <c r="G170" s="29"/>
      <c r="I170" s="38">
        <v>45236</v>
      </c>
      <c r="J170" s="27">
        <f t="shared" si="4"/>
        <v>4427027.0270270268</v>
      </c>
      <c r="K170" s="27">
        <f t="shared" si="5"/>
        <v>486972.97297297296</v>
      </c>
      <c r="L170" s="25">
        <v>4914000</v>
      </c>
    </row>
    <row r="171" spans="1:12" x14ac:dyDescent="0.25">
      <c r="A171" s="19">
        <v>80</v>
      </c>
      <c r="B171" s="30" t="s">
        <v>496</v>
      </c>
      <c r="C171" s="25" t="s">
        <v>497</v>
      </c>
      <c r="D171" s="7"/>
      <c r="E171" s="7" t="s">
        <v>498</v>
      </c>
      <c r="F171" s="7" t="s">
        <v>427</v>
      </c>
      <c r="G171" s="17"/>
      <c r="I171" s="34">
        <v>45237</v>
      </c>
      <c r="J171" s="27">
        <f t="shared" si="4"/>
        <v>2567567.5675675673</v>
      </c>
      <c r="K171" s="27">
        <f t="shared" si="5"/>
        <v>282432.43243243243</v>
      </c>
      <c r="L171" s="25">
        <f>1850000+1000000</f>
        <v>2850000</v>
      </c>
    </row>
    <row r="172" spans="1:12" x14ac:dyDescent="0.25">
      <c r="A172" s="19">
        <v>81</v>
      </c>
      <c r="B172" s="30" t="s">
        <v>499</v>
      </c>
      <c r="C172" s="25" t="s">
        <v>500</v>
      </c>
      <c r="D172" s="7"/>
      <c r="E172" s="7" t="s">
        <v>501</v>
      </c>
      <c r="F172" s="7" t="s">
        <v>502</v>
      </c>
      <c r="G172" s="17"/>
      <c r="I172" s="33">
        <v>45237</v>
      </c>
      <c r="J172" s="27">
        <f t="shared" si="4"/>
        <v>1984234.2342342341</v>
      </c>
      <c r="K172" s="27">
        <f t="shared" si="5"/>
        <v>218265.76576576574</v>
      </c>
      <c r="L172" s="25">
        <f>645000+107500+1450000</f>
        <v>2202500</v>
      </c>
    </row>
    <row r="173" spans="1:12" x14ac:dyDescent="0.25">
      <c r="A173" s="19">
        <v>82</v>
      </c>
      <c r="B173" s="30" t="s">
        <v>503</v>
      </c>
      <c r="C173" s="25" t="s">
        <v>504</v>
      </c>
      <c r="D173" s="7"/>
      <c r="E173" s="7" t="s">
        <v>505</v>
      </c>
      <c r="F173" s="7" t="s">
        <v>270</v>
      </c>
      <c r="G173" s="17"/>
      <c r="I173" s="33">
        <v>45237</v>
      </c>
      <c r="J173" s="27">
        <f t="shared" si="4"/>
        <v>25881963.963963963</v>
      </c>
      <c r="K173" s="27">
        <f t="shared" si="5"/>
        <v>2847016.036036036</v>
      </c>
      <c r="L173" s="25">
        <f>760000+25420180+2548800</f>
        <v>28728980</v>
      </c>
    </row>
    <row r="174" spans="1:12" x14ac:dyDescent="0.25">
      <c r="A174" s="19">
        <v>83</v>
      </c>
      <c r="B174" s="41" t="s">
        <v>548</v>
      </c>
      <c r="C174" s="25" t="s">
        <v>549</v>
      </c>
      <c r="D174" s="28"/>
      <c r="E174" s="28" t="s">
        <v>550</v>
      </c>
      <c r="F174" s="28" t="s">
        <v>529</v>
      </c>
      <c r="G174" s="29"/>
      <c r="I174" s="38">
        <v>45237</v>
      </c>
      <c r="J174" s="27">
        <f t="shared" si="4"/>
        <v>7908108.108108107</v>
      </c>
      <c r="K174" s="27">
        <f t="shared" si="5"/>
        <v>869891.89189189172</v>
      </c>
      <c r="L174" s="25">
        <f>2583000+4914000+1281000</f>
        <v>8778000</v>
      </c>
    </row>
    <row r="175" spans="1:12" x14ac:dyDescent="0.25">
      <c r="A175" s="36">
        <v>84</v>
      </c>
      <c r="B175" s="30" t="s">
        <v>592</v>
      </c>
      <c r="C175" s="25" t="s">
        <v>593</v>
      </c>
      <c r="D175" s="7"/>
      <c r="E175" s="7" t="s">
        <v>594</v>
      </c>
      <c r="F175" s="7" t="s">
        <v>595</v>
      </c>
      <c r="G175" s="17"/>
      <c r="I175" s="33">
        <v>45237</v>
      </c>
      <c r="J175" s="27">
        <f t="shared" si="4"/>
        <v>4743927.9279279271</v>
      </c>
      <c r="K175" s="27">
        <f t="shared" si="5"/>
        <v>521832.07207207201</v>
      </c>
      <c r="L175" s="25">
        <f>678160+2112600+2110500+364500</f>
        <v>5265760</v>
      </c>
    </row>
    <row r="176" spans="1:12" x14ac:dyDescent="0.25">
      <c r="A176" s="19">
        <v>85</v>
      </c>
      <c r="B176" s="41" t="s">
        <v>506</v>
      </c>
      <c r="C176" s="25" t="s">
        <v>507</v>
      </c>
      <c r="D176" s="28"/>
      <c r="E176" s="28" t="s">
        <v>400</v>
      </c>
      <c r="F176" s="28" t="s">
        <v>249</v>
      </c>
      <c r="G176" s="29"/>
      <c r="I176" s="38">
        <v>45238</v>
      </c>
      <c r="J176" s="27">
        <f t="shared" si="4"/>
        <v>34133198.198198192</v>
      </c>
      <c r="K176" s="27">
        <f t="shared" si="5"/>
        <v>3754651.8018018012</v>
      </c>
      <c r="L176" s="25">
        <f>10673250+4376750+22837850</f>
        <v>37887850</v>
      </c>
    </row>
    <row r="177" spans="1:12" x14ac:dyDescent="0.25">
      <c r="A177" s="19">
        <v>86</v>
      </c>
      <c r="B177" s="30" t="s">
        <v>508</v>
      </c>
      <c r="C177" s="25" t="s">
        <v>509</v>
      </c>
      <c r="D177" s="7"/>
      <c r="E177" s="7" t="s">
        <v>510</v>
      </c>
      <c r="F177" s="7" t="s">
        <v>310</v>
      </c>
      <c r="G177" s="17"/>
      <c r="I177" s="33">
        <v>45238</v>
      </c>
      <c r="J177" s="27">
        <f t="shared" si="4"/>
        <v>35213774.774774775</v>
      </c>
      <c r="K177" s="27">
        <f t="shared" si="5"/>
        <v>3873515.2252252251</v>
      </c>
      <c r="L177" s="25">
        <f>19076040+16861250+3150000</f>
        <v>39087290</v>
      </c>
    </row>
    <row r="178" spans="1:12" x14ac:dyDescent="0.25">
      <c r="A178" s="19">
        <v>87</v>
      </c>
      <c r="B178" s="30" t="s">
        <v>511</v>
      </c>
      <c r="C178" s="25" t="s">
        <v>512</v>
      </c>
      <c r="D178" s="7"/>
      <c r="E178" s="7" t="s">
        <v>513</v>
      </c>
      <c r="F178" s="7" t="s">
        <v>346</v>
      </c>
      <c r="G178" s="17"/>
      <c r="I178" s="33">
        <v>45238</v>
      </c>
      <c r="J178" s="27">
        <f t="shared" si="4"/>
        <v>991216.2162162161</v>
      </c>
      <c r="K178" s="27">
        <f t="shared" si="5"/>
        <v>109033.78378378377</v>
      </c>
      <c r="L178" s="25">
        <f>1100250</f>
        <v>1100250</v>
      </c>
    </row>
    <row r="179" spans="1:12" x14ac:dyDescent="0.25">
      <c r="A179" s="36">
        <v>88</v>
      </c>
      <c r="B179" s="41" t="s">
        <v>551</v>
      </c>
      <c r="C179" s="25" t="s">
        <v>552</v>
      </c>
      <c r="D179" s="28"/>
      <c r="E179" s="28" t="s">
        <v>553</v>
      </c>
      <c r="F179" s="28" t="s">
        <v>554</v>
      </c>
      <c r="G179" s="29"/>
      <c r="I179" s="38">
        <v>45238</v>
      </c>
      <c r="J179" s="27">
        <f t="shared" si="4"/>
        <v>2103153.1531531531</v>
      </c>
      <c r="K179" s="27">
        <f t="shared" si="5"/>
        <v>231346.84684684683</v>
      </c>
      <c r="L179" s="25">
        <f>995750+1338750</f>
        <v>2334500</v>
      </c>
    </row>
    <row r="180" spans="1:12" x14ac:dyDescent="0.25">
      <c r="A180" s="36">
        <v>89</v>
      </c>
      <c r="B180" s="41" t="s">
        <v>555</v>
      </c>
      <c r="C180" s="25" t="s">
        <v>556</v>
      </c>
      <c r="D180" s="28"/>
      <c r="E180" s="28" t="s">
        <v>557</v>
      </c>
      <c r="F180" s="28" t="s">
        <v>451</v>
      </c>
      <c r="G180" s="29"/>
      <c r="I180" s="38">
        <v>45238</v>
      </c>
      <c r="J180" s="27">
        <f t="shared" si="4"/>
        <v>9702864.8648648635</v>
      </c>
      <c r="K180" s="27">
        <f t="shared" si="5"/>
        <v>1067315.1351351349</v>
      </c>
      <c r="L180" s="25">
        <f>5627880+1855800+3286500</f>
        <v>10770180</v>
      </c>
    </row>
    <row r="181" spans="1:12" x14ac:dyDescent="0.25">
      <c r="A181" s="36">
        <v>90</v>
      </c>
      <c r="B181" s="41" t="s">
        <v>558</v>
      </c>
      <c r="C181" s="25" t="s">
        <v>559</v>
      </c>
      <c r="D181" s="28"/>
      <c r="E181" s="28" t="s">
        <v>560</v>
      </c>
      <c r="F181" s="28" t="s">
        <v>561</v>
      </c>
      <c r="G181" s="29"/>
      <c r="I181" s="38">
        <v>45238</v>
      </c>
      <c r="J181" s="27">
        <f t="shared" si="4"/>
        <v>4550270.2702702703</v>
      </c>
      <c r="K181" s="27">
        <f t="shared" si="5"/>
        <v>500529.72972972976</v>
      </c>
      <c r="L181" s="25">
        <f>3150000+1900800</f>
        <v>5050800</v>
      </c>
    </row>
    <row r="182" spans="1:12" x14ac:dyDescent="0.25">
      <c r="A182" s="36">
        <v>91</v>
      </c>
      <c r="B182" s="41" t="s">
        <v>562</v>
      </c>
      <c r="C182" s="25" t="s">
        <v>563</v>
      </c>
      <c r="D182" s="28"/>
      <c r="E182" s="28" t="s">
        <v>564</v>
      </c>
      <c r="F182" s="28" t="s">
        <v>270</v>
      </c>
      <c r="G182" s="29"/>
      <c r="I182" s="38">
        <v>45238</v>
      </c>
      <c r="J182" s="27">
        <f t="shared" si="4"/>
        <v>6311351.3513513505</v>
      </c>
      <c r="K182" s="27">
        <f t="shared" si="5"/>
        <v>694248.64864864852</v>
      </c>
      <c r="L182" s="25">
        <f>3981600+3024000</f>
        <v>7005600</v>
      </c>
    </row>
    <row r="183" spans="1:12" x14ac:dyDescent="0.25">
      <c r="A183" s="36">
        <v>92</v>
      </c>
      <c r="B183" s="30" t="s">
        <v>822</v>
      </c>
      <c r="C183" s="25" t="s">
        <v>823</v>
      </c>
      <c r="D183" s="7"/>
      <c r="E183" s="7" t="s">
        <v>658</v>
      </c>
      <c r="F183" s="7" t="s">
        <v>554</v>
      </c>
      <c r="G183" s="7"/>
      <c r="I183" s="33">
        <v>45238</v>
      </c>
      <c r="J183" s="27">
        <f t="shared" si="4"/>
        <v>40591895.495495491</v>
      </c>
      <c r="K183" s="27">
        <f t="shared" si="5"/>
        <v>4465108.5045045037</v>
      </c>
      <c r="L183" s="25">
        <f>45057004</f>
        <v>45057004</v>
      </c>
    </row>
    <row r="184" spans="1:12" x14ac:dyDescent="0.25">
      <c r="A184" s="36">
        <v>93</v>
      </c>
      <c r="B184" s="30" t="s">
        <v>514</v>
      </c>
      <c r="C184" s="25" t="s">
        <v>515</v>
      </c>
      <c r="D184" s="7"/>
      <c r="E184" s="7" t="s">
        <v>516</v>
      </c>
      <c r="F184" s="7" t="s">
        <v>423</v>
      </c>
      <c r="G184" s="17"/>
      <c r="I184" s="33">
        <v>45239</v>
      </c>
      <c r="J184" s="27">
        <f t="shared" si="4"/>
        <v>3736373.8738738736</v>
      </c>
      <c r="K184" s="27">
        <f t="shared" si="5"/>
        <v>411001.1261261261</v>
      </c>
      <c r="L184" s="25">
        <f>809375+1728000+1610000</f>
        <v>4147375</v>
      </c>
    </row>
    <row r="185" spans="1:12" x14ac:dyDescent="0.25">
      <c r="A185" s="36">
        <v>94</v>
      </c>
      <c r="B185" s="30" t="s">
        <v>517</v>
      </c>
      <c r="C185" s="25" t="s">
        <v>518</v>
      </c>
      <c r="D185" s="7"/>
      <c r="E185" s="7" t="s">
        <v>519</v>
      </c>
      <c r="F185" s="7" t="s">
        <v>479</v>
      </c>
      <c r="G185" s="17"/>
      <c r="I185" s="33">
        <v>45239</v>
      </c>
      <c r="J185" s="27">
        <f t="shared" si="4"/>
        <v>2039279.2792792791</v>
      </c>
      <c r="K185" s="27">
        <f t="shared" si="5"/>
        <v>224320.72072072071</v>
      </c>
      <c r="L185" s="25">
        <f>1263600+1000000</f>
        <v>2263600</v>
      </c>
    </row>
    <row r="186" spans="1:12" x14ac:dyDescent="0.25">
      <c r="A186" s="36">
        <v>95</v>
      </c>
      <c r="B186" s="30" t="s">
        <v>520</v>
      </c>
      <c r="C186" s="25" t="s">
        <v>521</v>
      </c>
      <c r="D186" s="7"/>
      <c r="E186" s="7" t="s">
        <v>522</v>
      </c>
      <c r="F186" s="7" t="s">
        <v>322</v>
      </c>
      <c r="G186" s="17"/>
      <c r="I186" s="33">
        <v>45239</v>
      </c>
      <c r="J186" s="27">
        <f t="shared" si="4"/>
        <v>4237684.6846846845</v>
      </c>
      <c r="K186" s="27">
        <f t="shared" si="5"/>
        <v>466145.31531531533</v>
      </c>
      <c r="L186" s="25">
        <f>1533300+3170530</f>
        <v>4703830</v>
      </c>
    </row>
    <row r="187" spans="1:12" x14ac:dyDescent="0.25">
      <c r="A187" s="36">
        <v>96</v>
      </c>
      <c r="B187" s="30" t="s">
        <v>526</v>
      </c>
      <c r="C187" s="25" t="s">
        <v>527</v>
      </c>
      <c r="D187" s="7"/>
      <c r="E187" s="7" t="s">
        <v>528</v>
      </c>
      <c r="F187" s="7" t="s">
        <v>529</v>
      </c>
      <c r="G187" s="17"/>
      <c r="I187" s="33">
        <v>45239</v>
      </c>
      <c r="J187" s="27">
        <f t="shared" si="4"/>
        <v>2108108.1081081079</v>
      </c>
      <c r="K187" s="27">
        <f t="shared" si="5"/>
        <v>231891.89189189186</v>
      </c>
      <c r="L187" s="25">
        <v>2340000</v>
      </c>
    </row>
    <row r="188" spans="1:12" x14ac:dyDescent="0.25">
      <c r="A188" s="36">
        <v>97</v>
      </c>
      <c r="B188" s="41" t="s">
        <v>530</v>
      </c>
      <c r="C188" s="25" t="s">
        <v>531</v>
      </c>
      <c r="D188" s="28"/>
      <c r="E188" s="28" t="s">
        <v>532</v>
      </c>
      <c r="F188" s="28" t="s">
        <v>492</v>
      </c>
      <c r="G188" s="29"/>
      <c r="I188" s="39">
        <v>45239</v>
      </c>
      <c r="J188" s="27">
        <f t="shared" si="4"/>
        <v>2840576.5765765761</v>
      </c>
      <c r="K188" s="27">
        <f t="shared" si="5"/>
        <v>312463.42342342337</v>
      </c>
      <c r="L188" s="25">
        <f>653040+2500000</f>
        <v>3153040</v>
      </c>
    </row>
    <row r="189" spans="1:12" x14ac:dyDescent="0.25">
      <c r="A189" s="36">
        <v>98</v>
      </c>
      <c r="B189" s="30" t="s">
        <v>533</v>
      </c>
      <c r="C189" s="25" t="s">
        <v>534</v>
      </c>
      <c r="D189" s="7"/>
      <c r="E189" s="7" t="s">
        <v>535</v>
      </c>
      <c r="F189" s="7" t="s">
        <v>270</v>
      </c>
      <c r="G189" s="17"/>
      <c r="I189" s="34">
        <v>45240</v>
      </c>
      <c r="J189" s="27">
        <f t="shared" si="4"/>
        <v>8286486.4864864862</v>
      </c>
      <c r="K189" s="27">
        <f t="shared" si="5"/>
        <v>911513.51351351349</v>
      </c>
      <c r="L189" s="25">
        <f>3150000+6048000</f>
        <v>9198000</v>
      </c>
    </row>
    <row r="190" spans="1:12" x14ac:dyDescent="0.25">
      <c r="A190" s="36">
        <v>99</v>
      </c>
      <c r="B190" s="30" t="s">
        <v>536</v>
      </c>
      <c r="C190" s="25" t="s">
        <v>537</v>
      </c>
      <c r="D190" s="7"/>
      <c r="E190" s="7" t="s">
        <v>538</v>
      </c>
      <c r="F190" s="7" t="s">
        <v>249</v>
      </c>
      <c r="G190" s="17"/>
      <c r="I190" s="33">
        <v>45240</v>
      </c>
      <c r="J190" s="27">
        <f t="shared" si="4"/>
        <v>3064864.8648648644</v>
      </c>
      <c r="K190" s="27">
        <f t="shared" si="5"/>
        <v>337135.13513513509</v>
      </c>
      <c r="L190" s="25">
        <v>3402000</v>
      </c>
    </row>
    <row r="191" spans="1:12" x14ac:dyDescent="0.25">
      <c r="A191" s="19">
        <v>100</v>
      </c>
      <c r="B191" s="41" t="s">
        <v>565</v>
      </c>
      <c r="C191" s="25" t="s">
        <v>566</v>
      </c>
      <c r="D191" s="28"/>
      <c r="E191" s="28" t="s">
        <v>567</v>
      </c>
      <c r="F191" s="28" t="s">
        <v>270</v>
      </c>
      <c r="G191" s="29"/>
      <c r="I191" s="38">
        <v>45240</v>
      </c>
      <c r="J191" s="27">
        <f t="shared" si="4"/>
        <v>5586283.7837837832</v>
      </c>
      <c r="K191" s="27">
        <f t="shared" si="5"/>
        <v>614491.21621621621</v>
      </c>
      <c r="L191" s="25">
        <f>5147100+1053675</f>
        <v>6200775</v>
      </c>
    </row>
    <row r="192" spans="1:12" x14ac:dyDescent="0.25">
      <c r="A192" s="19">
        <v>101</v>
      </c>
      <c r="B192" s="41" t="s">
        <v>568</v>
      </c>
      <c r="C192" s="31" t="s">
        <v>569</v>
      </c>
      <c r="D192" s="40"/>
      <c r="E192" s="29" t="s">
        <v>570</v>
      </c>
      <c r="F192" s="29" t="s">
        <v>571</v>
      </c>
      <c r="G192" s="29"/>
      <c r="I192" s="37">
        <v>45240</v>
      </c>
      <c r="J192" s="27">
        <f t="shared" si="4"/>
        <v>3178378.3783783782</v>
      </c>
      <c r="K192" s="27">
        <f t="shared" si="5"/>
        <v>349621.6216216216</v>
      </c>
      <c r="L192" s="25">
        <f>1764000+1764000</f>
        <v>3528000</v>
      </c>
    </row>
    <row r="193" spans="1:12" x14ac:dyDescent="0.25">
      <c r="A193" s="36">
        <v>102</v>
      </c>
      <c r="B193" s="41" t="s">
        <v>572</v>
      </c>
      <c r="C193" s="25" t="s">
        <v>573</v>
      </c>
      <c r="D193" s="28"/>
      <c r="E193" s="28" t="s">
        <v>464</v>
      </c>
      <c r="F193" s="28" t="s">
        <v>465</v>
      </c>
      <c r="G193" s="29"/>
      <c r="I193" s="38">
        <v>45240</v>
      </c>
      <c r="J193" s="27">
        <f t="shared" si="4"/>
        <v>5108108.1081081079</v>
      </c>
      <c r="K193" s="27">
        <f t="shared" si="5"/>
        <v>561891.89189189184</v>
      </c>
      <c r="L193" s="25">
        <f>787500+4882500</f>
        <v>5670000</v>
      </c>
    </row>
    <row r="194" spans="1:12" x14ac:dyDescent="0.25">
      <c r="A194" s="19">
        <v>103</v>
      </c>
      <c r="B194" s="41" t="s">
        <v>574</v>
      </c>
      <c r="C194" s="25" t="s">
        <v>575</v>
      </c>
      <c r="D194" s="28"/>
      <c r="E194" s="28" t="s">
        <v>400</v>
      </c>
      <c r="F194" s="28" t="s">
        <v>401</v>
      </c>
      <c r="G194" s="29"/>
      <c r="I194" s="38">
        <v>45240</v>
      </c>
      <c r="J194" s="27">
        <f t="shared" si="4"/>
        <v>7807815.3153153146</v>
      </c>
      <c r="K194" s="27">
        <f t="shared" si="5"/>
        <v>858859.68468468462</v>
      </c>
      <c r="L194" s="25">
        <f>4892125+359100+3415450</f>
        <v>8666675</v>
      </c>
    </row>
    <row r="195" spans="1:12" x14ac:dyDescent="0.25">
      <c r="A195" s="19">
        <v>104</v>
      </c>
      <c r="B195" s="41" t="s">
        <v>576</v>
      </c>
      <c r="C195" s="25" t="s">
        <v>577</v>
      </c>
      <c r="D195" s="28"/>
      <c r="E195" s="28" t="s">
        <v>578</v>
      </c>
      <c r="F195" s="28" t="s">
        <v>472</v>
      </c>
      <c r="G195" s="29"/>
      <c r="I195" s="38">
        <v>45240</v>
      </c>
      <c r="J195" s="27">
        <f t="shared" si="4"/>
        <v>6356562.1621621614</v>
      </c>
      <c r="K195" s="27">
        <f t="shared" si="5"/>
        <v>699221.83783783775</v>
      </c>
      <c r="L195" s="25">
        <f>2363280+2213640+2478864</f>
        <v>7055784</v>
      </c>
    </row>
    <row r="196" spans="1:12" x14ac:dyDescent="0.25">
      <c r="A196" s="36">
        <v>105</v>
      </c>
      <c r="B196" s="30" t="s">
        <v>579</v>
      </c>
      <c r="C196" s="25" t="s">
        <v>580</v>
      </c>
      <c r="D196" s="7"/>
      <c r="E196" s="7" t="s">
        <v>581</v>
      </c>
      <c r="F196" s="7" t="s">
        <v>270</v>
      </c>
      <c r="G196" s="17"/>
      <c r="I196" s="33">
        <v>45241</v>
      </c>
      <c r="J196" s="27">
        <f t="shared" si="4"/>
        <v>26766801.801801801</v>
      </c>
      <c r="K196" s="27">
        <f t="shared" si="5"/>
        <v>2944348.1981981979</v>
      </c>
      <c r="L196" s="25">
        <f>3572100+6048000+20091050</f>
        <v>29711150</v>
      </c>
    </row>
    <row r="197" spans="1:12" x14ac:dyDescent="0.25">
      <c r="A197" s="19">
        <v>106</v>
      </c>
      <c r="B197" s="30" t="s">
        <v>582</v>
      </c>
      <c r="C197" s="25" t="s">
        <v>583</v>
      </c>
      <c r="D197" s="7"/>
      <c r="E197" s="7" t="s">
        <v>584</v>
      </c>
      <c r="F197" s="7" t="s">
        <v>585</v>
      </c>
      <c r="G197" s="17"/>
      <c r="I197" s="33">
        <v>45241</v>
      </c>
      <c r="J197" s="27">
        <f t="shared" si="4"/>
        <v>9417475.6756756753</v>
      </c>
      <c r="K197" s="27">
        <f t="shared" si="5"/>
        <v>1035922.3243243243</v>
      </c>
      <c r="L197" s="25">
        <f>1962720+4114230+4376448</f>
        <v>10453398</v>
      </c>
    </row>
    <row r="198" spans="1:12" x14ac:dyDescent="0.25">
      <c r="A198" s="19">
        <v>107</v>
      </c>
      <c r="B198" s="41" t="s">
        <v>586</v>
      </c>
      <c r="C198" s="25" t="s">
        <v>587</v>
      </c>
      <c r="D198" s="28"/>
      <c r="E198" s="28" t="s">
        <v>588</v>
      </c>
      <c r="F198" s="28" t="s">
        <v>589</v>
      </c>
      <c r="G198" s="29"/>
      <c r="I198" s="38">
        <v>45241</v>
      </c>
      <c r="J198" s="27">
        <f t="shared" si="4"/>
        <v>2900450.4504504502</v>
      </c>
      <c r="K198" s="27">
        <f t="shared" si="5"/>
        <v>319049.54954954953</v>
      </c>
      <c r="L198" s="25">
        <f>1221300+1998200</f>
        <v>3219500</v>
      </c>
    </row>
    <row r="199" spans="1:12" x14ac:dyDescent="0.25">
      <c r="A199" s="19">
        <v>108</v>
      </c>
      <c r="B199" s="30" t="s">
        <v>590</v>
      </c>
      <c r="C199" s="25" t="s">
        <v>591</v>
      </c>
      <c r="D199" s="7"/>
      <c r="E199" s="7" t="s">
        <v>400</v>
      </c>
      <c r="F199" s="7" t="s">
        <v>281</v>
      </c>
      <c r="G199" s="17"/>
      <c r="I199" s="33">
        <v>45241</v>
      </c>
      <c r="J199" s="27">
        <f t="shared" si="4"/>
        <v>1711549.5495495494</v>
      </c>
      <c r="K199" s="27">
        <f t="shared" si="5"/>
        <v>188270.45045045044</v>
      </c>
      <c r="L199" s="25">
        <f>486920+1412900</f>
        <v>1899820</v>
      </c>
    </row>
    <row r="200" spans="1:12" x14ac:dyDescent="0.25">
      <c r="A200" s="19">
        <v>109</v>
      </c>
      <c r="B200" s="30" t="s">
        <v>523</v>
      </c>
      <c r="C200" s="25" t="s">
        <v>524</v>
      </c>
      <c r="D200" s="7"/>
      <c r="E200" s="7" t="s">
        <v>525</v>
      </c>
      <c r="F200" s="7" t="s">
        <v>423</v>
      </c>
      <c r="G200" s="17"/>
      <c r="I200" s="33">
        <v>45243</v>
      </c>
      <c r="J200" s="27">
        <f t="shared" ref="J200:J231" si="6">L200/1.11</f>
        <v>2640090.0900900899</v>
      </c>
      <c r="K200" s="27">
        <f t="shared" ref="K200:K231" si="7">J200*11%</f>
        <v>290409.90990990988</v>
      </c>
      <c r="L200" s="25">
        <f>430500+2500000</f>
        <v>2930500</v>
      </c>
    </row>
    <row r="201" spans="1:12" x14ac:dyDescent="0.25">
      <c r="A201" s="19">
        <v>110</v>
      </c>
      <c r="B201" s="30" t="s">
        <v>539</v>
      </c>
      <c r="C201" s="25" t="s">
        <v>540</v>
      </c>
      <c r="D201" s="7"/>
      <c r="E201" s="7" t="s">
        <v>400</v>
      </c>
      <c r="F201" s="7" t="s">
        <v>541</v>
      </c>
      <c r="G201" s="17"/>
      <c r="I201" s="33">
        <v>45243</v>
      </c>
      <c r="J201" s="27">
        <f t="shared" si="6"/>
        <v>16453837.837837836</v>
      </c>
      <c r="K201" s="27">
        <f t="shared" si="7"/>
        <v>1809922.1621621619</v>
      </c>
      <c r="L201" s="25">
        <f>1115340+12396132+4752288</f>
        <v>18263760</v>
      </c>
    </row>
    <row r="202" spans="1:12" x14ac:dyDescent="0.25">
      <c r="A202" s="19">
        <v>111</v>
      </c>
      <c r="B202" s="41" t="s">
        <v>596</v>
      </c>
      <c r="C202" s="25" t="s">
        <v>597</v>
      </c>
      <c r="D202" s="28"/>
      <c r="E202" s="28" t="s">
        <v>598</v>
      </c>
      <c r="F202" s="28" t="s">
        <v>599</v>
      </c>
      <c r="G202" s="29"/>
      <c r="I202" s="38">
        <v>45243</v>
      </c>
      <c r="J202" s="27">
        <f t="shared" si="6"/>
        <v>7385837.8378378376</v>
      </c>
      <c r="K202" s="27">
        <f t="shared" si="7"/>
        <v>812442.16216216213</v>
      </c>
      <c r="L202" s="25">
        <f>775440+5292000+2130840</f>
        <v>8198280</v>
      </c>
    </row>
    <row r="203" spans="1:12" x14ac:dyDescent="0.25">
      <c r="A203" s="19">
        <v>112</v>
      </c>
      <c r="B203" s="30" t="s">
        <v>600</v>
      </c>
      <c r="C203" s="25" t="s">
        <v>601</v>
      </c>
      <c r="D203" s="7"/>
      <c r="E203" s="7" t="s">
        <v>602</v>
      </c>
      <c r="F203" s="7" t="s">
        <v>529</v>
      </c>
      <c r="G203" s="17"/>
      <c r="I203" s="33">
        <v>45243</v>
      </c>
      <c r="J203" s="27">
        <f t="shared" si="6"/>
        <v>3731891.8918918916</v>
      </c>
      <c r="K203" s="27">
        <f t="shared" si="7"/>
        <v>410508.10810810811</v>
      </c>
      <c r="L203" s="25">
        <f>1592400+2550000</f>
        <v>4142400</v>
      </c>
    </row>
    <row r="204" spans="1:12" x14ac:dyDescent="0.25">
      <c r="A204" s="19">
        <v>113</v>
      </c>
      <c r="B204" s="30" t="s">
        <v>603</v>
      </c>
      <c r="C204" s="31" t="s">
        <v>604</v>
      </c>
      <c r="D204" s="32"/>
      <c r="E204" s="17" t="s">
        <v>605</v>
      </c>
      <c r="F204" s="17" t="s">
        <v>606</v>
      </c>
      <c r="G204" s="17"/>
      <c r="I204" s="22">
        <v>45243</v>
      </c>
      <c r="J204" s="27">
        <f t="shared" si="6"/>
        <v>4635135.1351351347</v>
      </c>
      <c r="K204" s="27">
        <f t="shared" si="7"/>
        <v>509864.86486486479</v>
      </c>
      <c r="L204" s="25">
        <f>145000+5000000</f>
        <v>5145000</v>
      </c>
    </row>
    <row r="205" spans="1:12" x14ac:dyDescent="0.25">
      <c r="A205" s="19">
        <v>114</v>
      </c>
      <c r="B205" s="30" t="s">
        <v>607</v>
      </c>
      <c r="C205" s="25" t="s">
        <v>608</v>
      </c>
      <c r="D205" s="7"/>
      <c r="E205" s="7" t="s">
        <v>609</v>
      </c>
      <c r="F205" s="7" t="s">
        <v>610</v>
      </c>
      <c r="G205" s="17"/>
      <c r="I205" s="33">
        <v>45243</v>
      </c>
      <c r="J205" s="27">
        <f t="shared" si="6"/>
        <v>5400918.9189189188</v>
      </c>
      <c r="K205" s="27">
        <f t="shared" si="7"/>
        <v>594101.08108108107</v>
      </c>
      <c r="L205" s="25">
        <v>5995020</v>
      </c>
    </row>
    <row r="206" spans="1:12" x14ac:dyDescent="0.25">
      <c r="A206" s="19">
        <v>115</v>
      </c>
      <c r="B206" s="30" t="s">
        <v>824</v>
      </c>
      <c r="C206" s="25" t="s">
        <v>825</v>
      </c>
      <c r="D206" s="7"/>
      <c r="E206" s="7" t="s">
        <v>658</v>
      </c>
      <c r="F206" s="7" t="s">
        <v>595</v>
      </c>
      <c r="G206" s="7"/>
      <c r="I206" s="33">
        <v>45243</v>
      </c>
      <c r="J206" s="27">
        <f t="shared" si="6"/>
        <v>40591895.495495491</v>
      </c>
      <c r="K206" s="27">
        <f t="shared" si="7"/>
        <v>4465108.5045045037</v>
      </c>
      <c r="L206" s="25">
        <f>45057004</f>
        <v>45057004</v>
      </c>
    </row>
    <row r="207" spans="1:12" x14ac:dyDescent="0.25">
      <c r="A207" s="19">
        <v>116</v>
      </c>
      <c r="B207" s="30" t="s">
        <v>611</v>
      </c>
      <c r="C207" s="25" t="s">
        <v>612</v>
      </c>
      <c r="D207" s="7"/>
      <c r="E207" s="7" t="s">
        <v>613</v>
      </c>
      <c r="F207" s="7" t="s">
        <v>614</v>
      </c>
      <c r="G207" s="17"/>
      <c r="I207" s="33">
        <v>45244</v>
      </c>
      <c r="J207" s="27">
        <f t="shared" si="6"/>
        <v>2748468.4684684682</v>
      </c>
      <c r="K207" s="27">
        <f t="shared" si="7"/>
        <v>302331.53153153148</v>
      </c>
      <c r="L207" s="25">
        <f>550800+2500000</f>
        <v>3050800</v>
      </c>
    </row>
    <row r="208" spans="1:12" x14ac:dyDescent="0.25">
      <c r="A208" s="19">
        <v>117</v>
      </c>
      <c r="B208" s="30" t="s">
        <v>615</v>
      </c>
      <c r="C208" s="25" t="s">
        <v>616</v>
      </c>
      <c r="D208" s="7"/>
      <c r="E208" s="7" t="s">
        <v>617</v>
      </c>
      <c r="F208" s="7" t="s">
        <v>618</v>
      </c>
      <c r="G208" s="17"/>
      <c r="I208" s="33">
        <v>45244</v>
      </c>
      <c r="J208" s="27">
        <f t="shared" si="6"/>
        <v>1899171.1711711709</v>
      </c>
      <c r="K208" s="27">
        <f t="shared" si="7"/>
        <v>208908.82882882879</v>
      </c>
      <c r="L208" s="25">
        <f>1108080+1000000</f>
        <v>2108080</v>
      </c>
    </row>
    <row r="209" spans="1:12" x14ac:dyDescent="0.25">
      <c r="A209" s="19">
        <v>118</v>
      </c>
      <c r="B209" s="30" t="s">
        <v>619</v>
      </c>
      <c r="C209" s="25" t="s">
        <v>620</v>
      </c>
      <c r="D209" s="7"/>
      <c r="E209" s="7" t="s">
        <v>621</v>
      </c>
      <c r="F209" s="7" t="s">
        <v>622</v>
      </c>
      <c r="G209" s="17"/>
      <c r="I209" s="33">
        <v>45244</v>
      </c>
      <c r="J209" s="27">
        <f t="shared" si="6"/>
        <v>2966414.4144144142</v>
      </c>
      <c r="K209" s="27">
        <f t="shared" si="7"/>
        <v>326305.58558558556</v>
      </c>
      <c r="L209" s="25">
        <f>792720+2500000</f>
        <v>3292720</v>
      </c>
    </row>
    <row r="210" spans="1:12" x14ac:dyDescent="0.25">
      <c r="A210" s="19">
        <v>119</v>
      </c>
      <c r="B210" s="30" t="s">
        <v>623</v>
      </c>
      <c r="C210" s="25" t="s">
        <v>624</v>
      </c>
      <c r="D210" s="7"/>
      <c r="E210" s="7" t="s">
        <v>625</v>
      </c>
      <c r="F210" s="7" t="s">
        <v>444</v>
      </c>
      <c r="G210" s="17"/>
      <c r="I210" s="33">
        <v>45244</v>
      </c>
      <c r="J210" s="27">
        <f t="shared" si="6"/>
        <v>4593693.6936936937</v>
      </c>
      <c r="K210" s="27">
        <f t="shared" si="7"/>
        <v>505306.30630630633</v>
      </c>
      <c r="L210" s="25">
        <f>99000+5000000</f>
        <v>5099000</v>
      </c>
    </row>
    <row r="211" spans="1:12" x14ac:dyDescent="0.25">
      <c r="A211" s="19">
        <v>120</v>
      </c>
      <c r="B211" s="30" t="s">
        <v>647</v>
      </c>
      <c r="C211" s="25" t="s">
        <v>648</v>
      </c>
      <c r="D211" s="7"/>
      <c r="E211" s="7" t="s">
        <v>649</v>
      </c>
      <c r="F211" s="7" t="s">
        <v>340</v>
      </c>
      <c r="G211" s="17"/>
      <c r="I211" s="33">
        <v>45244</v>
      </c>
      <c r="J211" s="27">
        <f t="shared" si="6"/>
        <v>1846846.8468468466</v>
      </c>
      <c r="K211" s="27">
        <f t="shared" si="7"/>
        <v>203153.15315315314</v>
      </c>
      <c r="L211" s="25">
        <f>1050000+1000000</f>
        <v>2050000</v>
      </c>
    </row>
    <row r="212" spans="1:12" x14ac:dyDescent="0.25">
      <c r="A212" s="19">
        <v>121</v>
      </c>
      <c r="B212" s="30" t="s">
        <v>626</v>
      </c>
      <c r="C212" s="25" t="s">
        <v>627</v>
      </c>
      <c r="D212" s="7"/>
      <c r="E212" s="7" t="s">
        <v>628</v>
      </c>
      <c r="F212" s="7" t="s">
        <v>488</v>
      </c>
      <c r="G212" s="17"/>
      <c r="I212" s="33">
        <v>45245</v>
      </c>
      <c r="J212" s="27">
        <f t="shared" si="6"/>
        <v>2495495.4954954954</v>
      </c>
      <c r="K212" s="27">
        <f t="shared" si="7"/>
        <v>274504.5045045045</v>
      </c>
      <c r="L212" s="25">
        <f>270000+2500000</f>
        <v>2770000</v>
      </c>
    </row>
    <row r="213" spans="1:12" x14ac:dyDescent="0.25">
      <c r="A213" s="19">
        <v>122</v>
      </c>
      <c r="B213" s="30" t="s">
        <v>629</v>
      </c>
      <c r="C213" s="25" t="s">
        <v>630</v>
      </c>
      <c r="D213" s="7"/>
      <c r="E213" s="7" t="s">
        <v>400</v>
      </c>
      <c r="F213" s="7" t="s">
        <v>249</v>
      </c>
      <c r="G213" s="17"/>
      <c r="I213" s="33">
        <v>45245</v>
      </c>
      <c r="J213" s="27">
        <f t="shared" si="6"/>
        <v>13785360.36036036</v>
      </c>
      <c r="K213" s="27">
        <f t="shared" si="7"/>
        <v>1516389.6396396395</v>
      </c>
      <c r="L213" s="25">
        <f>1522500+3865500+9913750</f>
        <v>15301750</v>
      </c>
    </row>
    <row r="214" spans="1:12" x14ac:dyDescent="0.25">
      <c r="A214" s="19">
        <v>123</v>
      </c>
      <c r="B214" s="30" t="s">
        <v>634</v>
      </c>
      <c r="C214" s="25" t="s">
        <v>635</v>
      </c>
      <c r="D214" s="7"/>
      <c r="E214" s="7" t="s">
        <v>468</v>
      </c>
      <c r="F214" s="7" t="s">
        <v>270</v>
      </c>
      <c r="G214" s="17"/>
      <c r="I214" s="33">
        <v>45245</v>
      </c>
      <c r="J214" s="27">
        <f t="shared" si="6"/>
        <v>31208490.990990989</v>
      </c>
      <c r="K214" s="27">
        <f t="shared" si="7"/>
        <v>3432934.0090090088</v>
      </c>
      <c r="L214" s="25">
        <f>26268375+4216800+4156250</f>
        <v>34641425</v>
      </c>
    </row>
    <row r="215" spans="1:12" x14ac:dyDescent="0.25">
      <c r="A215" s="19">
        <v>124</v>
      </c>
      <c r="B215" s="30" t="s">
        <v>636</v>
      </c>
      <c r="C215" s="25" t="s">
        <v>637</v>
      </c>
      <c r="D215" s="7"/>
      <c r="E215" s="7" t="s">
        <v>638</v>
      </c>
      <c r="F215" s="7" t="s">
        <v>585</v>
      </c>
      <c r="G215" s="17"/>
      <c r="I215" s="33">
        <v>45245</v>
      </c>
      <c r="J215" s="27">
        <f t="shared" si="6"/>
        <v>2748162.1621621619</v>
      </c>
      <c r="K215" s="27">
        <f t="shared" si="7"/>
        <v>302297.83783783781</v>
      </c>
      <c r="L215" s="25">
        <v>3050460</v>
      </c>
    </row>
    <row r="216" spans="1:12" x14ac:dyDescent="0.25">
      <c r="A216" s="19">
        <v>125</v>
      </c>
      <c r="B216" s="30" t="s">
        <v>631</v>
      </c>
      <c r="C216" s="25" t="s">
        <v>632</v>
      </c>
      <c r="D216" s="7"/>
      <c r="E216" s="7" t="s">
        <v>633</v>
      </c>
      <c r="F216" s="7" t="s">
        <v>427</v>
      </c>
      <c r="G216" s="17"/>
      <c r="I216" s="33">
        <v>45246</v>
      </c>
      <c r="J216" s="27">
        <f t="shared" si="6"/>
        <v>1281531.5315315314</v>
      </c>
      <c r="K216" s="27">
        <f t="shared" si="7"/>
        <v>140968.46846846846</v>
      </c>
      <c r="L216" s="25">
        <f>211400+1211100</f>
        <v>1422500</v>
      </c>
    </row>
    <row r="217" spans="1:12" x14ac:dyDescent="0.25">
      <c r="A217" s="36">
        <v>126</v>
      </c>
      <c r="B217" s="30" t="s">
        <v>639</v>
      </c>
      <c r="C217" s="31" t="s">
        <v>640</v>
      </c>
      <c r="D217" s="32"/>
      <c r="E217" s="17" t="s">
        <v>641</v>
      </c>
      <c r="F217" s="17" t="s">
        <v>642</v>
      </c>
      <c r="G217" s="17"/>
      <c r="I217" s="22">
        <v>45246</v>
      </c>
      <c r="J217" s="27">
        <f t="shared" si="6"/>
        <v>2370810.8108108104</v>
      </c>
      <c r="K217" s="27">
        <f t="shared" si="7"/>
        <v>260789.18918918914</v>
      </c>
      <c r="L217" s="25">
        <f>405000+801000+1425600</f>
        <v>2631600</v>
      </c>
    </row>
    <row r="218" spans="1:12" x14ac:dyDescent="0.25">
      <c r="A218" s="36">
        <v>127</v>
      </c>
      <c r="B218" s="30" t="s">
        <v>643</v>
      </c>
      <c r="C218" s="25" t="s">
        <v>644</v>
      </c>
      <c r="D218" s="7"/>
      <c r="E218" s="7" t="s">
        <v>645</v>
      </c>
      <c r="F218" s="7" t="s">
        <v>646</v>
      </c>
      <c r="G218" s="17"/>
      <c r="I218" s="33">
        <v>45246</v>
      </c>
      <c r="J218" s="27">
        <f t="shared" si="6"/>
        <v>12149135.135135135</v>
      </c>
      <c r="K218" s="27">
        <f t="shared" si="7"/>
        <v>1336404.8648648649</v>
      </c>
      <c r="L218" s="25">
        <f>3518640+5054400+4912500</f>
        <v>13485540</v>
      </c>
    </row>
    <row r="219" spans="1:12" x14ac:dyDescent="0.25">
      <c r="A219" s="19">
        <v>128</v>
      </c>
      <c r="B219" s="30" t="s">
        <v>650</v>
      </c>
      <c r="C219" s="25" t="s">
        <v>651</v>
      </c>
      <c r="D219" s="7"/>
      <c r="E219" s="7" t="s">
        <v>652</v>
      </c>
      <c r="F219" s="7" t="s">
        <v>293</v>
      </c>
      <c r="G219" s="17"/>
      <c r="I219" s="33">
        <v>45247</v>
      </c>
      <c r="J219" s="27">
        <f t="shared" si="6"/>
        <v>15665315.315315314</v>
      </c>
      <c r="K219" s="27">
        <f t="shared" si="7"/>
        <v>1723184.6846846845</v>
      </c>
      <c r="L219" s="25">
        <f>3875000+13513500</f>
        <v>17388500</v>
      </c>
    </row>
    <row r="220" spans="1:12" x14ac:dyDescent="0.25">
      <c r="A220" s="19">
        <v>129</v>
      </c>
      <c r="B220" s="30" t="s">
        <v>653</v>
      </c>
      <c r="C220" s="25" t="s">
        <v>654</v>
      </c>
      <c r="D220" s="7"/>
      <c r="E220" s="7" t="s">
        <v>655</v>
      </c>
      <c r="F220" s="7" t="s">
        <v>229</v>
      </c>
      <c r="G220" s="17"/>
      <c r="I220" s="33">
        <v>45247</v>
      </c>
      <c r="J220" s="27">
        <f t="shared" si="6"/>
        <v>2563063.0630630627</v>
      </c>
      <c r="K220" s="27">
        <f t="shared" si="7"/>
        <v>281936.93693693692</v>
      </c>
      <c r="L220" s="25">
        <f>1845000+1000000</f>
        <v>2845000</v>
      </c>
    </row>
    <row r="221" spans="1:12" x14ac:dyDescent="0.25">
      <c r="A221" s="19">
        <v>130</v>
      </c>
      <c r="B221" s="30" t="s">
        <v>659</v>
      </c>
      <c r="C221" s="25" t="s">
        <v>660</v>
      </c>
      <c r="D221" s="7"/>
      <c r="E221" s="7" t="s">
        <v>661</v>
      </c>
      <c r="F221" s="7" t="s">
        <v>472</v>
      </c>
      <c r="G221" s="17"/>
      <c r="I221" s="33">
        <v>45247</v>
      </c>
      <c r="J221" s="27">
        <f t="shared" si="6"/>
        <v>2680045.0450450447</v>
      </c>
      <c r="K221" s="27">
        <f t="shared" si="7"/>
        <v>294804.95495495491</v>
      </c>
      <c r="L221" s="25">
        <v>2974850</v>
      </c>
    </row>
    <row r="222" spans="1:12" x14ac:dyDescent="0.25">
      <c r="A222" s="19">
        <v>131</v>
      </c>
      <c r="B222" s="41" t="s">
        <v>731</v>
      </c>
      <c r="C222" s="25" t="s">
        <v>732</v>
      </c>
      <c r="D222" s="28"/>
      <c r="E222" s="28" t="s">
        <v>733</v>
      </c>
      <c r="F222" s="28" t="s">
        <v>401</v>
      </c>
      <c r="G222" s="28"/>
      <c r="I222" s="38">
        <v>45247</v>
      </c>
      <c r="J222" s="27">
        <f t="shared" si="6"/>
        <v>4673801.8018018017</v>
      </c>
      <c r="K222" s="27">
        <f t="shared" si="7"/>
        <v>514118.19819819817</v>
      </c>
      <c r="L222" s="25">
        <f>187920+5000000</f>
        <v>5187920</v>
      </c>
    </row>
    <row r="223" spans="1:12" x14ac:dyDescent="0.25">
      <c r="A223" s="19">
        <v>132</v>
      </c>
      <c r="B223" s="41" t="s">
        <v>734</v>
      </c>
      <c r="C223" s="25" t="s">
        <v>735</v>
      </c>
      <c r="D223" s="28"/>
      <c r="E223" s="28" t="s">
        <v>609</v>
      </c>
      <c r="F223" s="28" t="s">
        <v>322</v>
      </c>
      <c r="G223" s="28"/>
      <c r="I223" s="38">
        <v>45247</v>
      </c>
      <c r="J223" s="27">
        <f t="shared" si="6"/>
        <v>2556936.9369369368</v>
      </c>
      <c r="K223" s="27">
        <f t="shared" si="7"/>
        <v>281263.06306306308</v>
      </c>
      <c r="L223" s="25">
        <f>1838200+1000000</f>
        <v>2838200</v>
      </c>
    </row>
    <row r="224" spans="1:12" x14ac:dyDescent="0.25">
      <c r="A224" s="19">
        <v>133</v>
      </c>
      <c r="B224" s="41" t="s">
        <v>736</v>
      </c>
      <c r="C224" s="31" t="s">
        <v>737</v>
      </c>
      <c r="D224" s="40"/>
      <c r="E224" s="29" t="s">
        <v>738</v>
      </c>
      <c r="F224" s="29" t="s">
        <v>488</v>
      </c>
      <c r="G224" s="29"/>
      <c r="I224" s="37">
        <v>45247</v>
      </c>
      <c r="J224" s="27">
        <f t="shared" si="6"/>
        <v>1493837.8378378376</v>
      </c>
      <c r="K224" s="27">
        <f t="shared" si="7"/>
        <v>164322.16216216213</v>
      </c>
      <c r="L224" s="25">
        <f>738000+920160</f>
        <v>1658160</v>
      </c>
    </row>
    <row r="225" spans="1:12" x14ac:dyDescent="0.25">
      <c r="A225" s="19">
        <v>134</v>
      </c>
      <c r="B225" s="30" t="s">
        <v>826</v>
      </c>
      <c r="C225" s="25" t="s">
        <v>827</v>
      </c>
      <c r="D225" s="7"/>
      <c r="E225" s="7" t="s">
        <v>658</v>
      </c>
      <c r="F225" s="7" t="s">
        <v>472</v>
      </c>
      <c r="G225" s="7"/>
      <c r="I225" s="33">
        <v>45247</v>
      </c>
      <c r="J225" s="27">
        <f t="shared" si="6"/>
        <v>40591895.495495491</v>
      </c>
      <c r="K225" s="27">
        <f t="shared" si="7"/>
        <v>4465108.5045045037</v>
      </c>
      <c r="L225" s="25">
        <f>45057004</f>
        <v>45057004</v>
      </c>
    </row>
    <row r="226" spans="1:12" x14ac:dyDescent="0.25">
      <c r="A226" s="19">
        <v>135</v>
      </c>
      <c r="B226" s="30" t="s">
        <v>662</v>
      </c>
      <c r="C226" s="25" t="s">
        <v>663</v>
      </c>
      <c r="D226" s="7"/>
      <c r="E226" s="7" t="s">
        <v>664</v>
      </c>
      <c r="F226" s="7" t="s">
        <v>287</v>
      </c>
      <c r="G226" s="17"/>
      <c r="I226" s="33">
        <v>45248</v>
      </c>
      <c r="J226" s="27">
        <f t="shared" si="6"/>
        <v>1362765.7657657657</v>
      </c>
      <c r="K226" s="27">
        <f t="shared" si="7"/>
        <v>149904.23423423423</v>
      </c>
      <c r="L226" s="25">
        <f>1333390+179280</f>
        <v>1512670</v>
      </c>
    </row>
    <row r="227" spans="1:12" x14ac:dyDescent="0.25">
      <c r="A227" s="19">
        <v>136</v>
      </c>
      <c r="B227" s="41" t="s">
        <v>665</v>
      </c>
      <c r="C227" s="25" t="s">
        <v>666</v>
      </c>
      <c r="D227" s="28"/>
      <c r="E227" s="28" t="s">
        <v>667</v>
      </c>
      <c r="F227" s="28" t="s">
        <v>472</v>
      </c>
      <c r="G227" s="29"/>
      <c r="I227" s="38">
        <v>45248</v>
      </c>
      <c r="J227" s="27">
        <f t="shared" si="6"/>
        <v>2153254.054054054</v>
      </c>
      <c r="K227" s="27">
        <f t="shared" si="7"/>
        <v>236857.94594594595</v>
      </c>
      <c r="L227" s="25">
        <f>1093920+1296192</f>
        <v>2390112</v>
      </c>
    </row>
    <row r="228" spans="1:12" x14ac:dyDescent="0.25">
      <c r="A228" s="19">
        <v>137</v>
      </c>
      <c r="B228" s="41" t="s">
        <v>668</v>
      </c>
      <c r="C228" s="25" t="s">
        <v>669</v>
      </c>
      <c r="D228" s="28"/>
      <c r="E228" s="28" t="s">
        <v>670</v>
      </c>
      <c r="F228" s="28" t="s">
        <v>606</v>
      </c>
      <c r="G228" s="29"/>
      <c r="I228" s="38">
        <v>45248</v>
      </c>
      <c r="J228" s="27">
        <f t="shared" si="6"/>
        <v>3866666.6666666665</v>
      </c>
      <c r="K228" s="27">
        <f t="shared" si="7"/>
        <v>425333.33333333331</v>
      </c>
      <c r="L228" s="25">
        <f>3500000+792000</f>
        <v>4292000</v>
      </c>
    </row>
    <row r="229" spans="1:12" x14ac:dyDescent="0.25">
      <c r="A229" s="19">
        <v>138</v>
      </c>
      <c r="B229" s="30" t="s">
        <v>671</v>
      </c>
      <c r="C229" s="25" t="s">
        <v>672</v>
      </c>
      <c r="D229" s="7"/>
      <c r="E229" s="7" t="s">
        <v>673</v>
      </c>
      <c r="F229" s="7" t="s">
        <v>585</v>
      </c>
      <c r="G229" s="17"/>
      <c r="I229" s="33">
        <v>45248</v>
      </c>
      <c r="J229" s="27">
        <f t="shared" si="6"/>
        <v>7203599.9999999991</v>
      </c>
      <c r="K229" s="27">
        <f t="shared" si="7"/>
        <v>792395.99999999988</v>
      </c>
      <c r="L229" s="25">
        <v>7995996</v>
      </c>
    </row>
    <row r="230" spans="1:12" x14ac:dyDescent="0.25">
      <c r="A230" s="19">
        <v>139</v>
      </c>
      <c r="B230" s="30" t="s">
        <v>674</v>
      </c>
      <c r="C230" s="31" t="s">
        <v>675</v>
      </c>
      <c r="D230" s="32"/>
      <c r="E230" s="17" t="s">
        <v>676</v>
      </c>
      <c r="F230" s="17" t="s">
        <v>322</v>
      </c>
      <c r="G230" s="17"/>
      <c r="I230" s="22">
        <v>45248</v>
      </c>
      <c r="J230" s="27">
        <f t="shared" si="6"/>
        <v>2603603.6036036033</v>
      </c>
      <c r="K230" s="27">
        <f t="shared" si="7"/>
        <v>286396.39639639639</v>
      </c>
      <c r="L230" s="25">
        <f>1890000+1000000</f>
        <v>2890000</v>
      </c>
    </row>
    <row r="231" spans="1:12" x14ac:dyDescent="0.25">
      <c r="A231" s="19">
        <v>140</v>
      </c>
      <c r="B231" s="30" t="s">
        <v>677</v>
      </c>
      <c r="C231" s="25" t="s">
        <v>678</v>
      </c>
      <c r="D231" s="7"/>
      <c r="E231" s="7" t="s">
        <v>400</v>
      </c>
      <c r="F231" s="7" t="s">
        <v>541</v>
      </c>
      <c r="G231" s="17"/>
      <c r="I231" s="33">
        <v>45248</v>
      </c>
      <c r="J231" s="27">
        <f t="shared" si="6"/>
        <v>4100756.7567567565</v>
      </c>
      <c r="K231" s="27">
        <f t="shared" si="7"/>
        <v>451083.2432432432</v>
      </c>
      <c r="L231" s="25">
        <f>1983600+2568240</f>
        <v>4551840</v>
      </c>
    </row>
    <row r="232" spans="1:12" x14ac:dyDescent="0.25">
      <c r="A232" s="36">
        <v>141</v>
      </c>
      <c r="B232" s="30" t="s">
        <v>679</v>
      </c>
      <c r="C232" s="25" t="s">
        <v>680</v>
      </c>
      <c r="D232" s="7"/>
      <c r="E232" s="7" t="s">
        <v>681</v>
      </c>
      <c r="F232" s="7" t="s">
        <v>270</v>
      </c>
      <c r="G232" s="17"/>
      <c r="I232" s="33">
        <v>45248</v>
      </c>
      <c r="J232" s="27">
        <f t="shared" ref="J232:J263" si="8">L232/1.11</f>
        <v>12010990.990990991</v>
      </c>
      <c r="K232" s="27">
        <f t="shared" ref="K232:K263" si="9">J232*11%</f>
        <v>1321209.009009009</v>
      </c>
      <c r="L232" s="25">
        <v>13332200</v>
      </c>
    </row>
    <row r="233" spans="1:12" x14ac:dyDescent="0.25">
      <c r="A233" s="19">
        <v>142</v>
      </c>
      <c r="B233" s="41" t="s">
        <v>739</v>
      </c>
      <c r="C233" s="25" t="s">
        <v>740</v>
      </c>
      <c r="D233" s="28"/>
      <c r="E233" s="28" t="s">
        <v>741</v>
      </c>
      <c r="F233" s="28" t="s">
        <v>742</v>
      </c>
      <c r="G233" s="28"/>
      <c r="I233" s="38">
        <v>45248</v>
      </c>
      <c r="J233" s="27">
        <f t="shared" si="8"/>
        <v>4675675.6756756753</v>
      </c>
      <c r="K233" s="27">
        <f t="shared" si="9"/>
        <v>514324.32432432426</v>
      </c>
      <c r="L233" s="25">
        <f>190000+5000000</f>
        <v>5190000</v>
      </c>
    </row>
    <row r="234" spans="1:12" x14ac:dyDescent="0.25">
      <c r="A234" s="36">
        <v>143</v>
      </c>
      <c r="B234" s="30" t="s">
        <v>682</v>
      </c>
      <c r="C234" s="25" t="s">
        <v>683</v>
      </c>
      <c r="D234" s="7"/>
      <c r="E234" s="7" t="s">
        <v>684</v>
      </c>
      <c r="F234" s="7" t="s">
        <v>444</v>
      </c>
      <c r="G234" s="17"/>
      <c r="I234" s="33">
        <v>45250</v>
      </c>
      <c r="J234" s="27">
        <f t="shared" si="8"/>
        <v>813981.98198198189</v>
      </c>
      <c r="K234" s="27">
        <f t="shared" si="9"/>
        <v>89538.018018018003</v>
      </c>
      <c r="L234" s="25">
        <f>389880+513640</f>
        <v>903520</v>
      </c>
    </row>
    <row r="235" spans="1:12" x14ac:dyDescent="0.25">
      <c r="A235" s="19">
        <v>144</v>
      </c>
      <c r="B235" s="41" t="s">
        <v>743</v>
      </c>
      <c r="C235" s="25" t="s">
        <v>744</v>
      </c>
      <c r="D235" s="28"/>
      <c r="E235" s="28" t="s">
        <v>745</v>
      </c>
      <c r="F235" s="28" t="s">
        <v>322</v>
      </c>
      <c r="G235" s="28"/>
      <c r="I235" s="38">
        <v>45250</v>
      </c>
      <c r="J235" s="27">
        <f t="shared" si="8"/>
        <v>4662162.1621621614</v>
      </c>
      <c r="K235" s="27">
        <f t="shared" si="9"/>
        <v>512837.83783783775</v>
      </c>
      <c r="L235" s="25">
        <f>175000+5000000</f>
        <v>5175000</v>
      </c>
    </row>
    <row r="236" spans="1:12" x14ac:dyDescent="0.25">
      <c r="A236" s="19">
        <v>145</v>
      </c>
      <c r="B236" s="41" t="s">
        <v>746</v>
      </c>
      <c r="C236" s="25" t="s">
        <v>747</v>
      </c>
      <c r="D236" s="28"/>
      <c r="E236" s="28" t="s">
        <v>748</v>
      </c>
      <c r="F236" s="28" t="s">
        <v>322</v>
      </c>
      <c r="G236" s="28"/>
      <c r="I236" s="38">
        <v>45250</v>
      </c>
      <c r="J236" s="27">
        <f t="shared" si="8"/>
        <v>3043981.9819819815</v>
      </c>
      <c r="K236" s="27">
        <f t="shared" si="9"/>
        <v>334838.01801801799</v>
      </c>
      <c r="L236" s="25">
        <f>1772060+1346760+260000</f>
        <v>3378820</v>
      </c>
    </row>
    <row r="237" spans="1:12" x14ac:dyDescent="0.25">
      <c r="A237" s="19">
        <v>146</v>
      </c>
      <c r="B237" s="30" t="s">
        <v>813</v>
      </c>
      <c r="C237" s="25" t="s">
        <v>814</v>
      </c>
      <c r="D237" s="7"/>
      <c r="E237" s="7" t="s">
        <v>815</v>
      </c>
      <c r="F237" s="7" t="s">
        <v>434</v>
      </c>
      <c r="G237" s="7"/>
      <c r="I237" s="33">
        <v>45250</v>
      </c>
      <c r="J237" s="27">
        <f t="shared" si="8"/>
        <v>12115196.396396395</v>
      </c>
      <c r="K237" s="27">
        <f t="shared" si="9"/>
        <v>1332671.6036036036</v>
      </c>
      <c r="L237" s="25">
        <v>13447868</v>
      </c>
    </row>
    <row r="238" spans="1:12" x14ac:dyDescent="0.25">
      <c r="A238" s="19">
        <v>147</v>
      </c>
      <c r="B238" s="30" t="s">
        <v>685</v>
      </c>
      <c r="C238" s="25" t="s">
        <v>686</v>
      </c>
      <c r="D238" s="7"/>
      <c r="E238" s="7" t="s">
        <v>468</v>
      </c>
      <c r="F238" s="7" t="s">
        <v>270</v>
      </c>
      <c r="G238" s="17"/>
      <c r="I238" s="33">
        <v>45251</v>
      </c>
      <c r="J238" s="27">
        <f t="shared" si="8"/>
        <v>12306756.756756756</v>
      </c>
      <c r="K238" s="27">
        <f t="shared" si="9"/>
        <v>1353743.2432432433</v>
      </c>
      <c r="L238" s="25">
        <f>1837500+861000+10962000</f>
        <v>13660500</v>
      </c>
    </row>
    <row r="239" spans="1:12" x14ac:dyDescent="0.25">
      <c r="A239" s="19">
        <v>148</v>
      </c>
      <c r="B239" s="30" t="s">
        <v>828</v>
      </c>
      <c r="C239" s="25" t="s">
        <v>829</v>
      </c>
      <c r="D239" s="7"/>
      <c r="E239" s="7" t="s">
        <v>658</v>
      </c>
      <c r="F239" s="7" t="s">
        <v>451</v>
      </c>
      <c r="G239" s="7"/>
      <c r="I239" s="33">
        <v>45251</v>
      </c>
      <c r="J239" s="27">
        <f t="shared" si="8"/>
        <v>40591895.495495491</v>
      </c>
      <c r="K239" s="27">
        <f t="shared" si="9"/>
        <v>4465108.5045045037</v>
      </c>
      <c r="L239" s="25">
        <f>45057004</f>
        <v>45057004</v>
      </c>
    </row>
    <row r="240" spans="1:12" x14ac:dyDescent="0.25">
      <c r="A240" s="12">
        <v>149</v>
      </c>
      <c r="B240" s="30" t="s">
        <v>687</v>
      </c>
      <c r="C240" s="25" t="s">
        <v>688</v>
      </c>
      <c r="D240" s="7"/>
      <c r="E240" s="7" t="s">
        <v>400</v>
      </c>
      <c r="F240" s="7" t="s">
        <v>401</v>
      </c>
      <c r="G240" s="17"/>
      <c r="I240" s="33">
        <v>45252</v>
      </c>
      <c r="J240" s="27">
        <f t="shared" si="8"/>
        <v>5676903.6036036033</v>
      </c>
      <c r="K240" s="27">
        <f t="shared" si="9"/>
        <v>624459.39639639633</v>
      </c>
      <c r="L240" s="25">
        <f>743750+2155613+3402000</f>
        <v>6301363</v>
      </c>
    </row>
    <row r="241" spans="1:12" x14ac:dyDescent="0.25">
      <c r="A241" s="19">
        <v>150</v>
      </c>
      <c r="B241" s="30" t="s">
        <v>689</v>
      </c>
      <c r="C241" s="25" t="s">
        <v>690</v>
      </c>
      <c r="D241" s="7"/>
      <c r="E241" s="7" t="s">
        <v>691</v>
      </c>
      <c r="F241" s="7" t="s">
        <v>461</v>
      </c>
      <c r="G241" s="17"/>
      <c r="I241" s="33">
        <v>45252</v>
      </c>
      <c r="J241" s="27">
        <f t="shared" si="8"/>
        <v>2901171.1711711711</v>
      </c>
      <c r="K241" s="27">
        <f t="shared" si="9"/>
        <v>319128.82882882882</v>
      </c>
      <c r="L241" s="25">
        <f>720300+2500000</f>
        <v>3220300</v>
      </c>
    </row>
    <row r="242" spans="1:12" x14ac:dyDescent="0.25">
      <c r="A242" s="36">
        <v>151</v>
      </c>
      <c r="B242" s="30" t="s">
        <v>692</v>
      </c>
      <c r="C242" s="25" t="s">
        <v>693</v>
      </c>
      <c r="D242" s="7"/>
      <c r="E242" s="7" t="s">
        <v>694</v>
      </c>
      <c r="F242" s="7" t="s">
        <v>695</v>
      </c>
      <c r="G242" s="17"/>
      <c r="I242" s="33">
        <v>45252</v>
      </c>
      <c r="J242" s="27">
        <f t="shared" si="8"/>
        <v>1963963.9639639638</v>
      </c>
      <c r="K242" s="27">
        <f t="shared" si="9"/>
        <v>216036.03603603601</v>
      </c>
      <c r="L242" s="25">
        <f>1180000+1000000</f>
        <v>2180000</v>
      </c>
    </row>
    <row r="243" spans="1:12" x14ac:dyDescent="0.25">
      <c r="A243" s="36">
        <v>152</v>
      </c>
      <c r="B243" s="41" t="s">
        <v>749</v>
      </c>
      <c r="C243" s="25" t="s">
        <v>750</v>
      </c>
      <c r="D243" s="28"/>
      <c r="E243" s="28" t="s">
        <v>751</v>
      </c>
      <c r="F243" s="28" t="s">
        <v>606</v>
      </c>
      <c r="G243" s="28"/>
      <c r="I243" s="38">
        <v>45252</v>
      </c>
      <c r="J243" s="27">
        <f t="shared" si="8"/>
        <v>4548288.2882882878</v>
      </c>
      <c r="K243" s="27">
        <f t="shared" si="9"/>
        <v>500311.71171171166</v>
      </c>
      <c r="L243" s="25">
        <f>48600+5000000</f>
        <v>5048600</v>
      </c>
    </row>
    <row r="244" spans="1:12" x14ac:dyDescent="0.25">
      <c r="A244" s="36">
        <v>153</v>
      </c>
      <c r="B244" s="41" t="s">
        <v>752</v>
      </c>
      <c r="C244" s="31" t="s">
        <v>753</v>
      </c>
      <c r="D244" s="40"/>
      <c r="E244" s="29" t="s">
        <v>754</v>
      </c>
      <c r="F244" s="29" t="s">
        <v>755</v>
      </c>
      <c r="G244" s="29"/>
      <c r="I244" s="37">
        <v>45252</v>
      </c>
      <c r="J244" s="27">
        <f t="shared" si="8"/>
        <v>1941441.4414414412</v>
      </c>
      <c r="K244" s="27">
        <f t="shared" si="9"/>
        <v>213558.55855855852</v>
      </c>
      <c r="L244" s="25">
        <f>1155000+1000000</f>
        <v>2155000</v>
      </c>
    </row>
    <row r="245" spans="1:12" x14ac:dyDescent="0.25">
      <c r="A245" s="36">
        <v>154</v>
      </c>
      <c r="B245" s="41" t="s">
        <v>756</v>
      </c>
      <c r="C245" s="25" t="s">
        <v>757</v>
      </c>
      <c r="D245" s="28"/>
      <c r="E245" s="28" t="s">
        <v>758</v>
      </c>
      <c r="F245" s="28" t="s">
        <v>759</v>
      </c>
      <c r="G245" s="28"/>
      <c r="I245" s="38">
        <v>45252</v>
      </c>
      <c r="J245" s="27">
        <f t="shared" si="8"/>
        <v>1834954.9549549548</v>
      </c>
      <c r="K245" s="27">
        <f t="shared" si="9"/>
        <v>201845.04504504503</v>
      </c>
      <c r="L245" s="25">
        <f>1036800+1000000</f>
        <v>2036800</v>
      </c>
    </row>
    <row r="246" spans="1:12" x14ac:dyDescent="0.25">
      <c r="A246" s="36">
        <v>155</v>
      </c>
      <c r="B246" s="30" t="s">
        <v>696</v>
      </c>
      <c r="C246" s="25" t="s">
        <v>697</v>
      </c>
      <c r="D246" s="7"/>
      <c r="E246" s="7" t="s">
        <v>578</v>
      </c>
      <c r="F246" s="7" t="s">
        <v>472</v>
      </c>
      <c r="G246" s="17"/>
      <c r="I246" s="33">
        <v>45253</v>
      </c>
      <c r="J246" s="27">
        <f t="shared" si="8"/>
        <v>2274111.7117117117</v>
      </c>
      <c r="K246" s="27">
        <f t="shared" si="9"/>
        <v>250152.28828828828</v>
      </c>
      <c r="L246" s="25">
        <f>1524264+1000000</f>
        <v>2524264</v>
      </c>
    </row>
    <row r="247" spans="1:12" x14ac:dyDescent="0.25">
      <c r="A247" s="36">
        <v>156</v>
      </c>
      <c r="B247" s="30" t="s">
        <v>700</v>
      </c>
      <c r="C247" s="25" t="s">
        <v>701</v>
      </c>
      <c r="D247" s="7"/>
      <c r="E247" s="7" t="s">
        <v>645</v>
      </c>
      <c r="F247" s="7" t="s">
        <v>646</v>
      </c>
      <c r="G247" s="17"/>
      <c r="I247" s="33">
        <v>45253</v>
      </c>
      <c r="J247" s="27">
        <f t="shared" si="8"/>
        <v>2941981.9819819815</v>
      </c>
      <c r="K247" s="27">
        <f t="shared" si="9"/>
        <v>323618.01801801799</v>
      </c>
      <c r="L247" s="25">
        <f>765600+2500000</f>
        <v>3265600</v>
      </c>
    </row>
    <row r="248" spans="1:12" x14ac:dyDescent="0.25">
      <c r="A248" s="36">
        <v>157</v>
      </c>
      <c r="B248" s="41" t="s">
        <v>760</v>
      </c>
      <c r="C248" s="25" t="s">
        <v>761</v>
      </c>
      <c r="D248" s="28"/>
      <c r="E248" s="28" t="s">
        <v>762</v>
      </c>
      <c r="F248" s="28" t="s">
        <v>763</v>
      </c>
      <c r="G248" s="28"/>
      <c r="I248" s="38">
        <v>45253</v>
      </c>
      <c r="J248" s="27">
        <f t="shared" si="8"/>
        <v>7585090.0900900895</v>
      </c>
      <c r="K248" s="27">
        <f t="shared" si="9"/>
        <v>834359.90990990982</v>
      </c>
      <c r="L248" s="25">
        <f>990000+7429450</f>
        <v>8419450</v>
      </c>
    </row>
    <row r="249" spans="1:12" x14ac:dyDescent="0.25">
      <c r="A249" s="36">
        <v>158</v>
      </c>
      <c r="B249" s="30" t="s">
        <v>698</v>
      </c>
      <c r="C249" s="25" t="s">
        <v>699</v>
      </c>
      <c r="D249" s="7"/>
      <c r="E249" s="7" t="s">
        <v>407</v>
      </c>
      <c r="F249" s="7" t="s">
        <v>408</v>
      </c>
      <c r="G249" s="17"/>
      <c r="I249" s="33">
        <v>45254</v>
      </c>
      <c r="J249" s="27">
        <f t="shared" si="8"/>
        <v>3012837.8378378376</v>
      </c>
      <c r="K249" s="27">
        <f t="shared" si="9"/>
        <v>331412.16216216213</v>
      </c>
      <c r="L249" s="25">
        <v>3344250</v>
      </c>
    </row>
    <row r="250" spans="1:12" x14ac:dyDescent="0.25">
      <c r="A250" s="36">
        <v>159</v>
      </c>
      <c r="B250" s="30" t="s">
        <v>702</v>
      </c>
      <c r="C250" s="31" t="s">
        <v>703</v>
      </c>
      <c r="D250" s="32"/>
      <c r="E250" s="17" t="s">
        <v>557</v>
      </c>
      <c r="F250" s="17" t="s">
        <v>451</v>
      </c>
      <c r="G250" s="17"/>
      <c r="I250" s="22">
        <v>45254</v>
      </c>
      <c r="J250" s="27">
        <f t="shared" si="8"/>
        <v>18962432.432432432</v>
      </c>
      <c r="K250" s="27">
        <f t="shared" si="9"/>
        <v>2085867.5675675676</v>
      </c>
      <c r="L250" s="25">
        <f>5826450+6855450+8366400</f>
        <v>21048300</v>
      </c>
    </row>
    <row r="251" spans="1:12" x14ac:dyDescent="0.25">
      <c r="A251" s="36">
        <v>160</v>
      </c>
      <c r="B251" s="41" t="s">
        <v>704</v>
      </c>
      <c r="C251" s="25" t="s">
        <v>705</v>
      </c>
      <c r="D251" s="28"/>
      <c r="E251" s="28" t="s">
        <v>706</v>
      </c>
      <c r="F251" s="28" t="s">
        <v>529</v>
      </c>
      <c r="G251" s="28"/>
      <c r="I251" s="38">
        <v>45254</v>
      </c>
      <c r="J251" s="27">
        <f t="shared" si="8"/>
        <v>3755855.8558558556</v>
      </c>
      <c r="K251" s="27">
        <f t="shared" si="9"/>
        <v>413144.14414414414</v>
      </c>
      <c r="L251" s="25">
        <f>825000+3344000</f>
        <v>4169000</v>
      </c>
    </row>
    <row r="252" spans="1:12" x14ac:dyDescent="0.25">
      <c r="A252" s="36">
        <v>161</v>
      </c>
      <c r="B252" s="41" t="s">
        <v>709</v>
      </c>
      <c r="C252" s="25" t="s">
        <v>710</v>
      </c>
      <c r="D252" s="28"/>
      <c r="E252" s="28" t="s">
        <v>711</v>
      </c>
      <c r="F252" s="28" t="s">
        <v>554</v>
      </c>
      <c r="G252" s="28"/>
      <c r="I252" s="38">
        <v>45254</v>
      </c>
      <c r="J252" s="27">
        <f t="shared" si="8"/>
        <v>7825810.81081081</v>
      </c>
      <c r="K252" s="27">
        <f t="shared" si="9"/>
        <v>860839.18918918911</v>
      </c>
      <c r="L252" s="25">
        <f>3382050+3576300+1728300</f>
        <v>8686650</v>
      </c>
    </row>
    <row r="253" spans="1:12" x14ac:dyDescent="0.25">
      <c r="A253" s="36">
        <v>162</v>
      </c>
      <c r="B253" s="30" t="s">
        <v>707</v>
      </c>
      <c r="C253" s="25" t="s">
        <v>708</v>
      </c>
      <c r="D253" s="7"/>
      <c r="E253" s="7" t="s">
        <v>584</v>
      </c>
      <c r="F253" s="7" t="s">
        <v>585</v>
      </c>
      <c r="G253" s="7"/>
      <c r="I253" s="33">
        <v>45255</v>
      </c>
      <c r="J253" s="27">
        <f t="shared" si="8"/>
        <v>7035243.2432432426</v>
      </c>
      <c r="K253" s="27">
        <f t="shared" si="9"/>
        <v>773876.75675675669</v>
      </c>
      <c r="L253" s="25">
        <f>1607760+6201360</f>
        <v>7809120</v>
      </c>
    </row>
    <row r="254" spans="1:12" x14ac:dyDescent="0.25">
      <c r="A254" s="36">
        <v>163</v>
      </c>
      <c r="B254" s="30" t="s">
        <v>830</v>
      </c>
      <c r="C254" s="25" t="s">
        <v>831</v>
      </c>
      <c r="D254" s="7"/>
      <c r="E254" s="7" t="s">
        <v>658</v>
      </c>
      <c r="F254" s="7" t="s">
        <v>622</v>
      </c>
      <c r="G254" s="7"/>
      <c r="I254" s="33">
        <v>45255</v>
      </c>
      <c r="J254" s="27">
        <f t="shared" si="8"/>
        <v>40591895.495495491</v>
      </c>
      <c r="K254" s="27">
        <f t="shared" si="9"/>
        <v>4465108.5045045037</v>
      </c>
      <c r="L254" s="25">
        <f>45057004</f>
        <v>45057004</v>
      </c>
    </row>
    <row r="255" spans="1:12" x14ac:dyDescent="0.25">
      <c r="A255" s="36">
        <v>164</v>
      </c>
      <c r="B255" s="30" t="s">
        <v>712</v>
      </c>
      <c r="C255" s="25" t="s">
        <v>713</v>
      </c>
      <c r="D255" s="7"/>
      <c r="E255" s="7" t="s">
        <v>714</v>
      </c>
      <c r="F255" s="7" t="s">
        <v>346</v>
      </c>
      <c r="G255" s="7"/>
      <c r="I255" s="33">
        <v>45257</v>
      </c>
      <c r="J255" s="27">
        <f t="shared" si="8"/>
        <v>1981981.9819819818</v>
      </c>
      <c r="K255" s="27">
        <f t="shared" si="9"/>
        <v>218018.01801801799</v>
      </c>
      <c r="L255" s="25">
        <f>1200000+1000000</f>
        <v>2200000</v>
      </c>
    </row>
    <row r="256" spans="1:12" x14ac:dyDescent="0.25">
      <c r="A256" s="36">
        <v>165</v>
      </c>
      <c r="B256" s="41" t="s">
        <v>764</v>
      </c>
      <c r="C256" s="25" t="s">
        <v>765</v>
      </c>
      <c r="D256" s="28"/>
      <c r="E256" s="28" t="s">
        <v>766</v>
      </c>
      <c r="F256" s="28" t="s">
        <v>310</v>
      </c>
      <c r="G256" s="28"/>
      <c r="I256" s="38">
        <v>45257</v>
      </c>
      <c r="J256" s="27">
        <f t="shared" si="8"/>
        <v>544432.43243243243</v>
      </c>
      <c r="K256" s="27">
        <f t="shared" si="9"/>
        <v>59887.567567567567</v>
      </c>
      <c r="L256" s="25">
        <f>492000+112320</f>
        <v>604320</v>
      </c>
    </row>
    <row r="257" spans="1:12" x14ac:dyDescent="0.25">
      <c r="A257" s="36">
        <v>166</v>
      </c>
      <c r="B257" s="30" t="s">
        <v>715</v>
      </c>
      <c r="C257" s="31" t="s">
        <v>716</v>
      </c>
      <c r="D257" s="32"/>
      <c r="E257" s="17" t="s">
        <v>717</v>
      </c>
      <c r="F257" s="17" t="s">
        <v>718</v>
      </c>
      <c r="G257" s="17"/>
      <c r="I257" s="22">
        <v>45258</v>
      </c>
      <c r="J257" s="27">
        <f t="shared" si="8"/>
        <v>2478468.4684684682</v>
      </c>
      <c r="K257" s="27">
        <f t="shared" si="9"/>
        <v>272631.53153153148</v>
      </c>
      <c r="L257" s="25">
        <f>251100+2500000</f>
        <v>2751100</v>
      </c>
    </row>
    <row r="258" spans="1:12" x14ac:dyDescent="0.25">
      <c r="A258" s="36">
        <v>167</v>
      </c>
      <c r="B258" s="30" t="s">
        <v>719</v>
      </c>
      <c r="C258" s="25" t="s">
        <v>720</v>
      </c>
      <c r="D258" s="7"/>
      <c r="E258" s="7" t="s">
        <v>721</v>
      </c>
      <c r="F258" s="7" t="s">
        <v>423</v>
      </c>
      <c r="G258" s="7"/>
      <c r="I258" s="33">
        <v>45258</v>
      </c>
      <c r="J258" s="27">
        <f t="shared" si="8"/>
        <v>14229864.864864863</v>
      </c>
      <c r="K258" s="27">
        <f t="shared" si="9"/>
        <v>1565285.1351351349</v>
      </c>
      <c r="L258" s="25">
        <f>14298900+1496250</f>
        <v>15795150</v>
      </c>
    </row>
    <row r="259" spans="1:12" x14ac:dyDescent="0.25">
      <c r="A259" s="19">
        <v>168</v>
      </c>
      <c r="B259" s="41" t="s">
        <v>767</v>
      </c>
      <c r="C259" s="25" t="s">
        <v>768</v>
      </c>
      <c r="D259" s="28"/>
      <c r="E259" s="28" t="s">
        <v>510</v>
      </c>
      <c r="F259" s="28" t="s">
        <v>310</v>
      </c>
      <c r="G259" s="28"/>
      <c r="I259" s="38">
        <v>45258</v>
      </c>
      <c r="J259" s="27">
        <f t="shared" si="8"/>
        <v>4650450.4504504502</v>
      </c>
      <c r="K259" s="27">
        <f t="shared" si="9"/>
        <v>511549.54954954953</v>
      </c>
      <c r="L259" s="25">
        <f>162000+5000000</f>
        <v>5162000</v>
      </c>
    </row>
    <row r="260" spans="1:12" x14ac:dyDescent="0.25">
      <c r="A260" s="19">
        <v>169</v>
      </c>
      <c r="B260" s="41" t="s">
        <v>769</v>
      </c>
      <c r="C260" s="25" t="s">
        <v>770</v>
      </c>
      <c r="D260" s="28"/>
      <c r="E260" s="28" t="s">
        <v>771</v>
      </c>
      <c r="F260" s="28" t="s">
        <v>529</v>
      </c>
      <c r="G260" s="28"/>
      <c r="I260" s="38">
        <v>45258</v>
      </c>
      <c r="J260" s="27">
        <f t="shared" si="8"/>
        <v>2673873.8738738736</v>
      </c>
      <c r="K260" s="27">
        <f t="shared" si="9"/>
        <v>294126.1261261261</v>
      </c>
      <c r="L260" s="25">
        <f>468000+2500000</f>
        <v>2968000</v>
      </c>
    </row>
    <row r="261" spans="1:12" x14ac:dyDescent="0.25">
      <c r="A261" s="19">
        <v>170</v>
      </c>
      <c r="B261" s="30" t="s">
        <v>782</v>
      </c>
      <c r="C261" s="25" t="s">
        <v>783</v>
      </c>
      <c r="D261" s="7"/>
      <c r="E261" s="7" t="s">
        <v>516</v>
      </c>
      <c r="F261" s="7" t="s">
        <v>423</v>
      </c>
      <c r="G261" s="7"/>
      <c r="I261" s="33">
        <v>45258</v>
      </c>
      <c r="J261" s="27">
        <f t="shared" si="8"/>
        <v>3187837.8378378376</v>
      </c>
      <c r="K261" s="27">
        <f t="shared" si="9"/>
        <v>350662.16216216213</v>
      </c>
      <c r="L261" s="25">
        <v>3538500</v>
      </c>
    </row>
    <row r="262" spans="1:12" x14ac:dyDescent="0.25">
      <c r="A262" s="19">
        <v>171</v>
      </c>
      <c r="B262" s="30" t="s">
        <v>784</v>
      </c>
      <c r="C262" s="25" t="s">
        <v>785</v>
      </c>
      <c r="D262" s="7"/>
      <c r="E262" s="7" t="s">
        <v>550</v>
      </c>
      <c r="F262" s="7" t="s">
        <v>529</v>
      </c>
      <c r="G262" s="7"/>
      <c r="I262" s="33">
        <v>45258</v>
      </c>
      <c r="J262" s="27">
        <f t="shared" si="8"/>
        <v>10170270.270270269</v>
      </c>
      <c r="K262" s="27">
        <f t="shared" si="9"/>
        <v>1118729.7297297297</v>
      </c>
      <c r="L262" s="25">
        <f>4914000+6375000</f>
        <v>11289000</v>
      </c>
    </row>
    <row r="263" spans="1:12" x14ac:dyDescent="0.25">
      <c r="A263" s="19">
        <v>172</v>
      </c>
      <c r="B263" s="30" t="s">
        <v>786</v>
      </c>
      <c r="C263" s="25" t="s">
        <v>787</v>
      </c>
      <c r="D263" s="7"/>
      <c r="E263" s="7" t="s">
        <v>788</v>
      </c>
      <c r="F263" s="7" t="s">
        <v>444</v>
      </c>
      <c r="G263" s="7"/>
      <c r="I263" s="33">
        <v>45259</v>
      </c>
      <c r="J263" s="27">
        <f t="shared" si="8"/>
        <v>3133333.333333333</v>
      </c>
      <c r="K263" s="27">
        <f t="shared" si="9"/>
        <v>344666.66666666663</v>
      </c>
      <c r="L263" s="25">
        <f>978000+2500000</f>
        <v>3478000</v>
      </c>
    </row>
    <row r="264" spans="1:12" x14ac:dyDescent="0.25">
      <c r="A264" s="19">
        <v>173</v>
      </c>
      <c r="B264" s="30" t="s">
        <v>722</v>
      </c>
      <c r="C264" s="25" t="s">
        <v>723</v>
      </c>
      <c r="D264" s="7"/>
      <c r="E264" s="7" t="s">
        <v>458</v>
      </c>
      <c r="F264" s="7" t="s">
        <v>455</v>
      </c>
      <c r="G264" s="7"/>
      <c r="I264" s="33">
        <v>45260</v>
      </c>
      <c r="J264" s="27">
        <f t="shared" ref="J264:J281" si="10">L264/1.11</f>
        <v>2461621.6216216213</v>
      </c>
      <c r="K264" s="27">
        <f t="shared" ref="K264:K281" si="11">J264*11%</f>
        <v>270778.37837837834</v>
      </c>
      <c r="L264" s="25">
        <v>2732400</v>
      </c>
    </row>
    <row r="265" spans="1:12" x14ac:dyDescent="0.25">
      <c r="A265" s="19">
        <v>174</v>
      </c>
      <c r="B265" s="30" t="s">
        <v>724</v>
      </c>
      <c r="C265" s="25" t="s">
        <v>725</v>
      </c>
      <c r="D265" s="7"/>
      <c r="E265" s="7" t="s">
        <v>726</v>
      </c>
      <c r="F265" s="7" t="s">
        <v>595</v>
      </c>
      <c r="G265" s="7"/>
      <c r="I265" s="33">
        <v>45260</v>
      </c>
      <c r="J265" s="27">
        <f t="shared" si="10"/>
        <v>2918918.9189189188</v>
      </c>
      <c r="K265" s="27">
        <f t="shared" si="11"/>
        <v>321081.08108108107</v>
      </c>
      <c r="L265" s="25">
        <f>540000+2700000</f>
        <v>3240000</v>
      </c>
    </row>
    <row r="266" spans="1:12" x14ac:dyDescent="0.25">
      <c r="A266" s="19">
        <v>175</v>
      </c>
      <c r="B266" s="30" t="s">
        <v>729</v>
      </c>
      <c r="C266" s="25" t="s">
        <v>730</v>
      </c>
      <c r="D266" s="7"/>
      <c r="E266" s="7" t="s">
        <v>594</v>
      </c>
      <c r="F266" s="7" t="s">
        <v>595</v>
      </c>
      <c r="G266" s="7"/>
      <c r="I266" s="33">
        <v>45260</v>
      </c>
      <c r="J266" s="27">
        <f t="shared" si="10"/>
        <v>3891441.441441441</v>
      </c>
      <c r="K266" s="27">
        <f t="shared" si="11"/>
        <v>428058.55855855852</v>
      </c>
      <c r="L266" s="25">
        <f>346500+2143750+708750+1120500</f>
        <v>4319500</v>
      </c>
    </row>
    <row r="267" spans="1:12" x14ac:dyDescent="0.25">
      <c r="A267" s="19">
        <v>176</v>
      </c>
      <c r="B267" s="41" t="s">
        <v>772</v>
      </c>
      <c r="C267" s="25" t="s">
        <v>773</v>
      </c>
      <c r="D267" s="28"/>
      <c r="E267" s="28" t="s">
        <v>774</v>
      </c>
      <c r="F267" s="28" t="s">
        <v>742</v>
      </c>
      <c r="G267" s="28"/>
      <c r="I267" s="38">
        <v>45260</v>
      </c>
      <c r="J267" s="27">
        <f t="shared" si="10"/>
        <v>3013513.5135135134</v>
      </c>
      <c r="K267" s="27">
        <f t="shared" si="11"/>
        <v>331486.48648648645</v>
      </c>
      <c r="L267" s="25">
        <f>845000+2500000</f>
        <v>3345000</v>
      </c>
    </row>
    <row r="268" spans="1:12" x14ac:dyDescent="0.25">
      <c r="A268" s="19">
        <v>177</v>
      </c>
      <c r="B268" s="41" t="s">
        <v>775</v>
      </c>
      <c r="C268" s="25" t="s">
        <v>776</v>
      </c>
      <c r="D268" s="28"/>
      <c r="E268" s="28" t="s">
        <v>777</v>
      </c>
      <c r="F268" s="28" t="s">
        <v>243</v>
      </c>
      <c r="G268" s="28"/>
      <c r="I268" s="38">
        <v>45260</v>
      </c>
      <c r="J268" s="27">
        <f t="shared" si="10"/>
        <v>2217513.5135135134</v>
      </c>
      <c r="K268" s="27">
        <f t="shared" si="11"/>
        <v>243926.48648648648</v>
      </c>
      <c r="L268" s="25">
        <f>1308000+1153440</f>
        <v>2461440</v>
      </c>
    </row>
    <row r="269" spans="1:12" x14ac:dyDescent="0.25">
      <c r="A269" s="19">
        <v>178</v>
      </c>
      <c r="B269" s="41" t="s">
        <v>778</v>
      </c>
      <c r="C269" s="31" t="s">
        <v>779</v>
      </c>
      <c r="D269" s="40"/>
      <c r="E269" s="29" t="s">
        <v>404</v>
      </c>
      <c r="F269" s="29" t="s">
        <v>229</v>
      </c>
      <c r="G269" s="29"/>
      <c r="I269" s="37">
        <v>45260</v>
      </c>
      <c r="J269" s="27">
        <f t="shared" si="10"/>
        <v>2113783.7837837837</v>
      </c>
      <c r="K269" s="27">
        <f t="shared" si="11"/>
        <v>232516.21621621621</v>
      </c>
      <c r="L269" s="25">
        <v>2346300</v>
      </c>
    </row>
    <row r="270" spans="1:12" x14ac:dyDescent="0.25">
      <c r="A270" s="36">
        <v>179</v>
      </c>
      <c r="B270" s="41" t="s">
        <v>780</v>
      </c>
      <c r="C270" s="25" t="s">
        <v>781</v>
      </c>
      <c r="D270" s="28"/>
      <c r="E270" s="28" t="s">
        <v>478</v>
      </c>
      <c r="F270" s="28" t="s">
        <v>479</v>
      </c>
      <c r="G270" s="28"/>
      <c r="I270" s="38">
        <v>45260</v>
      </c>
      <c r="J270" s="27">
        <f t="shared" si="10"/>
        <v>6304540.5405405397</v>
      </c>
      <c r="K270" s="27">
        <f t="shared" si="11"/>
        <v>693499.45945945941</v>
      </c>
      <c r="L270" s="25">
        <f>2037240+4960800</f>
        <v>6998040</v>
      </c>
    </row>
    <row r="271" spans="1:12" x14ac:dyDescent="0.25">
      <c r="A271" s="36">
        <v>180</v>
      </c>
      <c r="B271" s="30" t="s">
        <v>789</v>
      </c>
      <c r="C271" s="25" t="s">
        <v>790</v>
      </c>
      <c r="D271" s="7"/>
      <c r="E271" s="7" t="s">
        <v>400</v>
      </c>
      <c r="F271" s="7" t="s">
        <v>461</v>
      </c>
      <c r="G271" s="7"/>
      <c r="I271" s="33">
        <v>45260</v>
      </c>
      <c r="J271" s="27">
        <f t="shared" si="10"/>
        <v>2961711.7117117113</v>
      </c>
      <c r="K271" s="27">
        <f t="shared" si="11"/>
        <v>325788.28828828823</v>
      </c>
      <c r="L271" s="25">
        <f>787500+2500000</f>
        <v>3287500</v>
      </c>
    </row>
    <row r="272" spans="1:12" x14ac:dyDescent="0.25">
      <c r="A272" s="19">
        <v>181</v>
      </c>
      <c r="B272" s="30" t="s">
        <v>791</v>
      </c>
      <c r="C272" s="25" t="s">
        <v>792</v>
      </c>
      <c r="D272" s="7"/>
      <c r="E272" s="7" t="s">
        <v>793</v>
      </c>
      <c r="F272" s="7" t="s">
        <v>479</v>
      </c>
      <c r="G272" s="7"/>
      <c r="I272" s="33">
        <v>45260</v>
      </c>
      <c r="J272" s="27">
        <f t="shared" si="10"/>
        <v>2594594.5945945946</v>
      </c>
      <c r="K272" s="27">
        <f t="shared" si="11"/>
        <v>285405.40540540538</v>
      </c>
      <c r="L272" s="25">
        <f>380000+2500000</f>
        <v>2880000</v>
      </c>
    </row>
    <row r="273" spans="1:12" x14ac:dyDescent="0.25">
      <c r="A273" s="19">
        <v>182</v>
      </c>
      <c r="B273" s="30" t="s">
        <v>794</v>
      </c>
      <c r="C273" s="25" t="s">
        <v>795</v>
      </c>
      <c r="D273" s="7"/>
      <c r="E273" s="7" t="s">
        <v>796</v>
      </c>
      <c r="F273" s="7" t="s">
        <v>465</v>
      </c>
      <c r="G273" s="7"/>
      <c r="I273" s="33">
        <v>45260</v>
      </c>
      <c r="J273" s="27">
        <f t="shared" si="10"/>
        <v>4620855.8558558552</v>
      </c>
      <c r="K273" s="27">
        <f t="shared" si="11"/>
        <v>508294.14414414408</v>
      </c>
      <c r="L273" s="25">
        <f>129150+5000000</f>
        <v>5129150</v>
      </c>
    </row>
    <row r="274" spans="1:12" x14ac:dyDescent="0.25">
      <c r="A274" s="19">
        <v>183</v>
      </c>
      <c r="B274" s="30" t="s">
        <v>797</v>
      </c>
      <c r="C274" s="25" t="s">
        <v>798</v>
      </c>
      <c r="D274" s="7"/>
      <c r="E274" s="7" t="s">
        <v>400</v>
      </c>
      <c r="F274" s="7" t="s">
        <v>249</v>
      </c>
      <c r="G274" s="7"/>
      <c r="I274" s="33">
        <v>45260</v>
      </c>
      <c r="J274" s="27">
        <f t="shared" si="10"/>
        <v>2103040.5405405401</v>
      </c>
      <c r="K274" s="27">
        <f t="shared" si="11"/>
        <v>231334.45945945941</v>
      </c>
      <c r="L274" s="25">
        <f>1334375+1000000</f>
        <v>2334375</v>
      </c>
    </row>
    <row r="275" spans="1:12" x14ac:dyDescent="0.25">
      <c r="A275" s="19">
        <v>184</v>
      </c>
      <c r="B275" s="30" t="s">
        <v>799</v>
      </c>
      <c r="C275" s="25" t="s">
        <v>800</v>
      </c>
      <c r="D275" s="7"/>
      <c r="E275" s="7" t="s">
        <v>433</v>
      </c>
      <c r="F275" s="7" t="s">
        <v>434</v>
      </c>
      <c r="G275" s="7"/>
      <c r="I275" s="33">
        <v>45260</v>
      </c>
      <c r="J275" s="27">
        <f t="shared" si="10"/>
        <v>4572612.6126126125</v>
      </c>
      <c r="K275" s="27">
        <f t="shared" si="11"/>
        <v>502987.3873873874</v>
      </c>
      <c r="L275" s="25">
        <f>75600+5000000</f>
        <v>5075600</v>
      </c>
    </row>
    <row r="276" spans="1:12" x14ac:dyDescent="0.25">
      <c r="A276" s="19">
        <v>185</v>
      </c>
      <c r="B276" s="30" t="s">
        <v>801</v>
      </c>
      <c r="C276" s="25" t="s">
        <v>802</v>
      </c>
      <c r="D276" s="7"/>
      <c r="E276" s="7" t="s">
        <v>400</v>
      </c>
      <c r="F276" s="7" t="s">
        <v>401</v>
      </c>
      <c r="G276" s="7"/>
      <c r="I276" s="33">
        <v>45260</v>
      </c>
      <c r="J276" s="27">
        <f t="shared" si="10"/>
        <v>2546846.8468468464</v>
      </c>
      <c r="K276" s="27">
        <f t="shared" si="11"/>
        <v>280153.15315315308</v>
      </c>
      <c r="L276" s="25">
        <f>1827000+1000000</f>
        <v>2827000</v>
      </c>
    </row>
    <row r="277" spans="1:12" x14ac:dyDescent="0.25">
      <c r="A277" s="19">
        <v>186</v>
      </c>
      <c r="B277" s="30" t="s">
        <v>803</v>
      </c>
      <c r="C277" s="31" t="s">
        <v>804</v>
      </c>
      <c r="D277" s="32"/>
      <c r="E277" s="17" t="s">
        <v>805</v>
      </c>
      <c r="F277" s="17" t="s">
        <v>742</v>
      </c>
      <c r="G277" s="17"/>
      <c r="I277" s="22">
        <v>45260</v>
      </c>
      <c r="J277" s="27">
        <f t="shared" si="10"/>
        <v>2086036.0360360357</v>
      </c>
      <c r="K277" s="27">
        <f t="shared" si="11"/>
        <v>229463.96396396394</v>
      </c>
      <c r="L277" s="25">
        <f>1315500+1000000</f>
        <v>2315500</v>
      </c>
    </row>
    <row r="278" spans="1:12" x14ac:dyDescent="0.25">
      <c r="A278" s="19">
        <v>187</v>
      </c>
      <c r="B278" s="30" t="s">
        <v>806</v>
      </c>
      <c r="C278" s="25" t="s">
        <v>807</v>
      </c>
      <c r="D278" s="7"/>
      <c r="E278" s="7" t="s">
        <v>711</v>
      </c>
      <c r="F278" s="7" t="s">
        <v>554</v>
      </c>
      <c r="G278" s="7"/>
      <c r="I278" s="33">
        <v>45260</v>
      </c>
      <c r="J278" s="27">
        <f t="shared" si="10"/>
        <v>3079954.9549549548</v>
      </c>
      <c r="K278" s="27">
        <f t="shared" si="11"/>
        <v>338795.04504504503</v>
      </c>
      <c r="L278" s="25">
        <f>918750+2500000</f>
        <v>3418750</v>
      </c>
    </row>
    <row r="279" spans="1:12" x14ac:dyDescent="0.25">
      <c r="A279" s="19">
        <v>188</v>
      </c>
      <c r="B279" s="41" t="s">
        <v>811</v>
      </c>
      <c r="C279" s="25" t="s">
        <v>812</v>
      </c>
      <c r="D279" s="28"/>
      <c r="E279" s="28" t="s">
        <v>810</v>
      </c>
      <c r="F279" s="28" t="s">
        <v>622</v>
      </c>
      <c r="G279" s="28"/>
      <c r="I279" s="38">
        <v>45260</v>
      </c>
      <c r="J279" s="27">
        <f t="shared" si="10"/>
        <v>11335391.891891891</v>
      </c>
      <c r="K279" s="27">
        <f t="shared" si="11"/>
        <v>1246893.1081081079</v>
      </c>
      <c r="L279" s="25">
        <f>1553500+2535627.5+3087740+2063595+2341822.5+1000000</f>
        <v>12582285</v>
      </c>
    </row>
    <row r="280" spans="1:12" x14ac:dyDescent="0.25">
      <c r="A280" s="19">
        <v>189</v>
      </c>
      <c r="B280" s="30" t="s">
        <v>816</v>
      </c>
      <c r="C280" s="31" t="s">
        <v>817</v>
      </c>
      <c r="D280" s="32"/>
      <c r="E280" s="17" t="s">
        <v>815</v>
      </c>
      <c r="F280" s="17" t="s">
        <v>434</v>
      </c>
      <c r="G280" s="17"/>
      <c r="I280" s="22">
        <v>45260</v>
      </c>
      <c r="J280" s="27">
        <f t="shared" si="10"/>
        <v>27448118.918918915</v>
      </c>
      <c r="K280" s="27">
        <f t="shared" si="11"/>
        <v>3019293.0810810807</v>
      </c>
      <c r="L280" s="25">
        <v>30467412</v>
      </c>
    </row>
    <row r="281" spans="1:12" x14ac:dyDescent="0.25">
      <c r="A281" s="19">
        <v>190</v>
      </c>
      <c r="B281" s="30" t="s">
        <v>832</v>
      </c>
      <c r="C281" s="31" t="s">
        <v>833</v>
      </c>
      <c r="D281" s="32"/>
      <c r="E281" s="7" t="s">
        <v>658</v>
      </c>
      <c r="F281" s="7" t="s">
        <v>595</v>
      </c>
      <c r="G281" s="17"/>
      <c r="I281" s="22">
        <v>45260</v>
      </c>
      <c r="J281" s="27">
        <f t="shared" si="10"/>
        <v>40591895.495495491</v>
      </c>
      <c r="K281" s="27">
        <f t="shared" si="11"/>
        <v>4465108.5045045037</v>
      </c>
      <c r="L281" s="25">
        <v>45057004</v>
      </c>
    </row>
    <row r="282" spans="1:12" x14ac:dyDescent="0.25">
      <c r="A282" s="12"/>
      <c r="B282" s="13"/>
      <c r="C282" s="14"/>
      <c r="D282" s="15"/>
      <c r="E282" s="16"/>
      <c r="F282" s="23"/>
      <c r="G282" s="7"/>
      <c r="I282" s="24"/>
      <c r="J282" s="46">
        <f t="shared" ref="J282:L282" si="12">SUM(J92:J281)</f>
        <v>1565448072.0720718</v>
      </c>
      <c r="K282" s="46">
        <f t="shared" si="12"/>
        <v>172199287.92792791</v>
      </c>
      <c r="L282" s="47">
        <f t="shared" si="12"/>
        <v>1737647360</v>
      </c>
    </row>
    <row r="283" spans="1:12" x14ac:dyDescent="0.25">
      <c r="A283" s="12"/>
      <c r="B283" s="13"/>
      <c r="C283" s="14"/>
      <c r="D283" s="15"/>
      <c r="E283" s="16"/>
      <c r="F283" s="23"/>
      <c r="G283" s="7"/>
      <c r="I283" s="24"/>
      <c r="J283" s="27"/>
      <c r="K283" s="27"/>
      <c r="L283" s="25"/>
    </row>
    <row r="284" spans="1:12" x14ac:dyDescent="0.25">
      <c r="A284" s="12"/>
      <c r="B284" s="13"/>
      <c r="C284" s="20"/>
      <c r="D284" s="12"/>
      <c r="E284" s="21"/>
      <c r="F284" s="17"/>
      <c r="G284" s="17"/>
      <c r="I284" s="22"/>
      <c r="J284" s="27"/>
      <c r="K284" s="27"/>
      <c r="L284" s="25"/>
    </row>
    <row r="285" spans="1:12" x14ac:dyDescent="0.25">
      <c r="A285" s="12"/>
      <c r="B285" s="13"/>
      <c r="C285" s="14"/>
      <c r="D285" s="15"/>
      <c r="E285" s="16"/>
      <c r="F285" s="23"/>
      <c r="G285" s="7"/>
      <c r="I285" s="24"/>
      <c r="J285" s="27"/>
      <c r="K285" s="27"/>
      <c r="L285" s="25"/>
    </row>
    <row r="286" spans="1:12" x14ac:dyDescent="0.25">
      <c r="A286" s="12"/>
      <c r="B286" s="13"/>
      <c r="C286" s="14"/>
      <c r="D286" s="15"/>
      <c r="E286" s="16"/>
      <c r="F286" s="23"/>
      <c r="G286" s="7"/>
      <c r="I286" s="24"/>
      <c r="J286" s="27"/>
      <c r="K286" s="27"/>
      <c r="L286" s="25"/>
    </row>
    <row r="287" spans="1:12" x14ac:dyDescent="0.25">
      <c r="A287" s="12"/>
      <c r="B287" s="13"/>
      <c r="C287" s="14"/>
      <c r="D287" s="15"/>
      <c r="E287" s="16"/>
      <c r="F287" s="23"/>
      <c r="G287" s="7"/>
      <c r="I287" s="24"/>
      <c r="J287" s="27"/>
      <c r="K287" s="27"/>
      <c r="L287" s="25"/>
    </row>
    <row r="288" spans="1:12" x14ac:dyDescent="0.25">
      <c r="J288" s="44"/>
      <c r="K288" s="44"/>
      <c r="L288" s="4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2023-07-18T02:55:08Z</dcterms:created>
  <dcterms:modified xsi:type="dcterms:W3CDTF">2023-12-18T03:30:46Z</dcterms:modified>
</cp:coreProperties>
</file>