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40" r:id="rId8"/>
  </pivotCaches>
</workbook>
</file>

<file path=xl/calcChain.xml><?xml version="1.0" encoding="utf-8"?>
<calcChain xmlns="http://schemas.openxmlformats.org/spreadsheetml/2006/main">
  <c r="N35" i="1" l="1"/>
  <c r="N36" i="1"/>
  <c r="B36" i="1"/>
  <c r="G36" i="1"/>
  <c r="A36" i="1" s="1"/>
  <c r="AC36" i="1" s="1"/>
  <c r="H35" i="1"/>
  <c r="H36" i="1"/>
  <c r="I35" i="1"/>
  <c r="I36" i="1"/>
  <c r="V36" i="1"/>
  <c r="W36" i="1" s="1"/>
  <c r="X35" i="1"/>
  <c r="X36" i="1"/>
  <c r="Y35" i="1"/>
  <c r="Y36" i="1"/>
  <c r="Z35" i="1"/>
  <c r="Z36" i="1"/>
  <c r="AA35" i="1"/>
  <c r="AA36" i="1"/>
  <c r="AB35" i="1"/>
  <c r="S35" i="1" s="1"/>
  <c r="AB36" i="1"/>
  <c r="S36" i="1" s="1"/>
  <c r="AE35" i="1"/>
  <c r="AE36" i="1"/>
  <c r="N37" i="1"/>
  <c r="N38" i="1"/>
  <c r="N39" i="1"/>
  <c r="N40" i="1"/>
  <c r="N41" i="1"/>
  <c r="N42" i="1"/>
  <c r="N43" i="1"/>
  <c r="N4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A1" i="1" l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4" i="1"/>
  <c r="AA161" i="1"/>
  <c r="AA158" i="1"/>
  <c r="AA156" i="1"/>
  <c r="AA151" i="1"/>
  <c r="AA149" i="1"/>
  <c r="AA147" i="1"/>
  <c r="AA142" i="1"/>
  <c r="AA136" i="1"/>
  <c r="AA134" i="1"/>
  <c r="AA132" i="1"/>
  <c r="AA118" i="1"/>
  <c r="AA113" i="1"/>
  <c r="AA107" i="1"/>
  <c r="AA104" i="1"/>
  <c r="AA100" i="1"/>
  <c r="AA89" i="1"/>
  <c r="AA87" i="1"/>
  <c r="AA81" i="1"/>
  <c r="AA79" i="1"/>
  <c r="AA78" i="1"/>
  <c r="AA76" i="1"/>
  <c r="AA74" i="1"/>
  <c r="AA68" i="1"/>
  <c r="AA66" i="1"/>
  <c r="AA59" i="1"/>
  <c r="AA57" i="1"/>
  <c r="AA55" i="1"/>
  <c r="AA30" i="1"/>
  <c r="AA4" i="1"/>
  <c r="E19" i="3" l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D79" i="2"/>
  <c r="J69" i="2"/>
  <c r="J107" i="2" s="1"/>
  <c r="D41" i="2"/>
  <c r="C1" i="2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C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C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AB179" i="1"/>
  <c r="S179" i="1" s="1"/>
  <c r="X179" i="1"/>
  <c r="V179" i="1"/>
  <c r="W179" i="1" s="1"/>
  <c r="H179" i="1"/>
  <c r="B179" i="1"/>
  <c r="G179" i="1" s="1"/>
  <c r="A179" i="1" s="1"/>
  <c r="AC179" i="1" s="1"/>
  <c r="AE178" i="1"/>
  <c r="AB178" i="1"/>
  <c r="S178" i="1" s="1"/>
  <c r="X178" i="1"/>
  <c r="V178" i="1"/>
  <c r="W178" i="1" s="1"/>
  <c r="H178" i="1"/>
  <c r="B178" i="1"/>
  <c r="G178" i="1" s="1"/>
  <c r="A178" i="1" s="1"/>
  <c r="AC178" i="1" s="1"/>
  <c r="AE177" i="1"/>
  <c r="AB177" i="1"/>
  <c r="S177" i="1" s="1"/>
  <c r="X177" i="1"/>
  <c r="V177" i="1"/>
  <c r="W177" i="1" s="1"/>
  <c r="H177" i="1"/>
  <c r="B177" i="1"/>
  <c r="G177" i="1" s="1"/>
  <c r="A177" i="1" s="1"/>
  <c r="AC177" i="1" s="1"/>
  <c r="AE176" i="1"/>
  <c r="AB176" i="1"/>
  <c r="S176" i="1" s="1"/>
  <c r="X176" i="1"/>
  <c r="V176" i="1"/>
  <c r="W176" i="1" s="1"/>
  <c r="H176" i="1"/>
  <c r="B176" i="1"/>
  <c r="G176" i="1" s="1"/>
  <c r="A176" i="1" s="1"/>
  <c r="AC176" i="1" s="1"/>
  <c r="AE175" i="1"/>
  <c r="AB175" i="1"/>
  <c r="S175" i="1" s="1"/>
  <c r="X175" i="1"/>
  <c r="V175" i="1"/>
  <c r="W175" i="1" s="1"/>
  <c r="H175" i="1"/>
  <c r="B175" i="1"/>
  <c r="G175" i="1" s="1"/>
  <c r="A175" i="1" s="1"/>
  <c r="AC175" i="1" s="1"/>
  <c r="AE174" i="1"/>
  <c r="AB174" i="1"/>
  <c r="S174" i="1" s="1"/>
  <c r="X174" i="1"/>
  <c r="V174" i="1"/>
  <c r="W174" i="1" s="1"/>
  <c r="H174" i="1"/>
  <c r="B174" i="1"/>
  <c r="G174" i="1" s="1"/>
  <c r="A174" i="1" s="1"/>
  <c r="AC174" i="1" s="1"/>
  <c r="AE173" i="1"/>
  <c r="AB173" i="1"/>
  <c r="S173" i="1" s="1"/>
  <c r="X173" i="1"/>
  <c r="V173" i="1"/>
  <c r="W173" i="1" s="1"/>
  <c r="H173" i="1"/>
  <c r="B173" i="1"/>
  <c r="G173" i="1" s="1"/>
  <c r="A173" i="1" s="1"/>
  <c r="AC173" i="1" s="1"/>
  <c r="AE172" i="1"/>
  <c r="AB172" i="1"/>
  <c r="S172" i="1" s="1"/>
  <c r="X172" i="1"/>
  <c r="V172" i="1"/>
  <c r="W172" i="1" s="1"/>
  <c r="H172" i="1"/>
  <c r="B172" i="1"/>
  <c r="G172" i="1" s="1"/>
  <c r="A172" i="1" s="1"/>
  <c r="AC172" i="1" s="1"/>
  <c r="AE171" i="1"/>
  <c r="AB171" i="1"/>
  <c r="S171" i="1" s="1"/>
  <c r="X171" i="1"/>
  <c r="V171" i="1"/>
  <c r="W171" i="1" s="1"/>
  <c r="H171" i="1"/>
  <c r="B171" i="1"/>
  <c r="G171" i="1" s="1"/>
  <c r="A171" i="1" s="1"/>
  <c r="AC171" i="1" s="1"/>
  <c r="AE170" i="1"/>
  <c r="AB170" i="1"/>
  <c r="S170" i="1" s="1"/>
  <c r="X170" i="1"/>
  <c r="V170" i="1"/>
  <c r="W170" i="1" s="1"/>
  <c r="H170" i="1"/>
  <c r="B170" i="1"/>
  <c r="G170" i="1" s="1"/>
  <c r="A170" i="1" s="1"/>
  <c r="AC170" i="1" s="1"/>
  <c r="AE169" i="1"/>
  <c r="AB169" i="1"/>
  <c r="S169" i="1" s="1"/>
  <c r="X169" i="1"/>
  <c r="V169" i="1"/>
  <c r="W169" i="1" s="1"/>
  <c r="H169" i="1"/>
  <c r="B169" i="1"/>
  <c r="G169" i="1" s="1"/>
  <c r="A169" i="1" s="1"/>
  <c r="AC169" i="1" s="1"/>
  <c r="AE168" i="1"/>
  <c r="X168" i="1"/>
  <c r="H168" i="1"/>
  <c r="B168" i="1"/>
  <c r="G168" i="1" s="1"/>
  <c r="A168" i="1" s="1"/>
  <c r="AC168" i="1" s="1"/>
  <c r="AE167" i="1"/>
  <c r="X167" i="1"/>
  <c r="H167" i="1"/>
  <c r="B167" i="1"/>
  <c r="G167" i="1" s="1"/>
  <c r="A167" i="1" s="1"/>
  <c r="AC167" i="1" s="1"/>
  <c r="AE166" i="1"/>
  <c r="X166" i="1"/>
  <c r="H166" i="1"/>
  <c r="B166" i="1"/>
  <c r="G166" i="1" s="1"/>
  <c r="A166" i="1" s="1"/>
  <c r="AC166" i="1" s="1"/>
  <c r="AE165" i="1"/>
  <c r="X165" i="1"/>
  <c r="H165" i="1"/>
  <c r="B165" i="1"/>
  <c r="G165" i="1" s="1"/>
  <c r="A165" i="1" s="1"/>
  <c r="AE164" i="1"/>
  <c r="AB164" i="1"/>
  <c r="S164" i="1" s="1"/>
  <c r="X164" i="1"/>
  <c r="V164" i="1"/>
  <c r="W164" i="1" s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C163" i="1" s="1"/>
  <c r="AE162" i="1"/>
  <c r="X162" i="1"/>
  <c r="H162" i="1"/>
  <c r="B162" i="1"/>
  <c r="G162" i="1" s="1"/>
  <c r="A162" i="1" s="1"/>
  <c r="AE161" i="1"/>
  <c r="AB161" i="1"/>
  <c r="S161" i="1" s="1"/>
  <c r="X161" i="1"/>
  <c r="V161" i="1"/>
  <c r="W161" i="1" s="1"/>
  <c r="H161" i="1"/>
  <c r="B161" i="1"/>
  <c r="G161" i="1" s="1"/>
  <c r="A161" i="1" s="1"/>
  <c r="AC161" i="1" s="1"/>
  <c r="AE160" i="1"/>
  <c r="X160" i="1"/>
  <c r="H160" i="1"/>
  <c r="B160" i="1"/>
  <c r="G160" i="1" s="1"/>
  <c r="A160" i="1" s="1"/>
  <c r="AC160" i="1" s="1"/>
  <c r="AE159" i="1"/>
  <c r="X159" i="1"/>
  <c r="H159" i="1"/>
  <c r="AE158" i="1"/>
  <c r="AB158" i="1"/>
  <c r="S158" i="1" s="1"/>
  <c r="X158" i="1"/>
  <c r="V158" i="1"/>
  <c r="W158" i="1" s="1"/>
  <c r="H158" i="1"/>
  <c r="B158" i="1"/>
  <c r="G158" i="1" s="1"/>
  <c r="A158" i="1" s="1"/>
  <c r="AC158" i="1" s="1"/>
  <c r="AE157" i="1"/>
  <c r="X157" i="1"/>
  <c r="H157" i="1"/>
  <c r="AE156" i="1"/>
  <c r="AB156" i="1"/>
  <c r="S156" i="1" s="1"/>
  <c r="X156" i="1"/>
  <c r="V156" i="1"/>
  <c r="W156" i="1" s="1"/>
  <c r="H156" i="1"/>
  <c r="B156" i="1"/>
  <c r="G156" i="1" s="1"/>
  <c r="A156" i="1" s="1"/>
  <c r="AC156" i="1" s="1"/>
  <c r="AE155" i="1"/>
  <c r="X155" i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C154" i="1" s="1"/>
  <c r="AE153" i="1"/>
  <c r="X153" i="1"/>
  <c r="H153" i="1"/>
  <c r="B153" i="1"/>
  <c r="G153" i="1" s="1"/>
  <c r="A153" i="1" s="1"/>
  <c r="AC153" i="1" s="1"/>
  <c r="AE152" i="1"/>
  <c r="X152" i="1"/>
  <c r="H152" i="1"/>
  <c r="AE151" i="1"/>
  <c r="AB151" i="1"/>
  <c r="S151" i="1" s="1"/>
  <c r="X151" i="1"/>
  <c r="V151" i="1"/>
  <c r="W151" i="1" s="1"/>
  <c r="H151" i="1"/>
  <c r="B151" i="1"/>
  <c r="G151" i="1" s="1"/>
  <c r="A151" i="1" s="1"/>
  <c r="AC151" i="1" s="1"/>
  <c r="AE150" i="1"/>
  <c r="X150" i="1"/>
  <c r="H150" i="1"/>
  <c r="AE149" i="1"/>
  <c r="AB149" i="1"/>
  <c r="S149" i="1" s="1"/>
  <c r="X149" i="1"/>
  <c r="V149" i="1"/>
  <c r="W149" i="1" s="1"/>
  <c r="H149" i="1"/>
  <c r="B149" i="1"/>
  <c r="G149" i="1" s="1"/>
  <c r="A149" i="1" s="1"/>
  <c r="AC149" i="1" s="1"/>
  <c r="AE148" i="1"/>
  <c r="X148" i="1"/>
  <c r="H148" i="1"/>
  <c r="AE147" i="1"/>
  <c r="AB147" i="1"/>
  <c r="S147" i="1" s="1"/>
  <c r="X147" i="1"/>
  <c r="V147" i="1"/>
  <c r="W147" i="1" s="1"/>
  <c r="H147" i="1"/>
  <c r="B147" i="1"/>
  <c r="G147" i="1" s="1"/>
  <c r="A147" i="1" s="1"/>
  <c r="AC147" i="1" s="1"/>
  <c r="AE146" i="1"/>
  <c r="X146" i="1"/>
  <c r="H146" i="1"/>
  <c r="B146" i="1"/>
  <c r="G146" i="1" s="1"/>
  <c r="A146" i="1" s="1"/>
  <c r="AC146" i="1" s="1"/>
  <c r="AE145" i="1"/>
  <c r="X145" i="1"/>
  <c r="H145" i="1"/>
  <c r="B145" i="1"/>
  <c r="G145" i="1" s="1"/>
  <c r="A145" i="1" s="1"/>
  <c r="AC145" i="1" s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B140" i="1"/>
  <c r="G140" i="1" s="1"/>
  <c r="A140" i="1" s="1"/>
  <c r="AC140" i="1" s="1"/>
  <c r="AE139" i="1"/>
  <c r="X139" i="1"/>
  <c r="H139" i="1"/>
  <c r="B139" i="1"/>
  <c r="G139" i="1" s="1"/>
  <c r="A139" i="1" s="1"/>
  <c r="AC139" i="1" s="1"/>
  <c r="AE138" i="1"/>
  <c r="X138" i="1"/>
  <c r="H138" i="1"/>
  <c r="B138" i="1"/>
  <c r="G138" i="1" s="1"/>
  <c r="A138" i="1" s="1"/>
  <c r="AC138" i="1" s="1"/>
  <c r="AE137" i="1"/>
  <c r="X137" i="1"/>
  <c r="H137" i="1"/>
  <c r="AE136" i="1"/>
  <c r="AB136" i="1"/>
  <c r="S136" i="1" s="1"/>
  <c r="X136" i="1"/>
  <c r="V136" i="1"/>
  <c r="W136" i="1" s="1"/>
  <c r="H136" i="1"/>
  <c r="B136" i="1"/>
  <c r="G136" i="1" s="1"/>
  <c r="A136" i="1" s="1"/>
  <c r="AC136" i="1" s="1"/>
  <c r="AE135" i="1"/>
  <c r="X135" i="1"/>
  <c r="H135" i="1"/>
  <c r="AE134" i="1"/>
  <c r="AB134" i="1"/>
  <c r="S134" i="1" s="1"/>
  <c r="X134" i="1"/>
  <c r="V134" i="1"/>
  <c r="W134" i="1" s="1"/>
  <c r="H134" i="1"/>
  <c r="B134" i="1"/>
  <c r="G134" i="1" s="1"/>
  <c r="A134" i="1" s="1"/>
  <c r="AC134" i="1" s="1"/>
  <c r="AE133" i="1"/>
  <c r="X133" i="1"/>
  <c r="H133" i="1"/>
  <c r="AE132" i="1"/>
  <c r="AB132" i="1"/>
  <c r="S132" i="1" s="1"/>
  <c r="X132" i="1"/>
  <c r="V132" i="1"/>
  <c r="W132" i="1" s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9" i="1"/>
  <c r="X129" i="1"/>
  <c r="H129" i="1"/>
  <c r="B129" i="1"/>
  <c r="G129" i="1" s="1"/>
  <c r="A129" i="1" s="1"/>
  <c r="AC129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B126" i="1"/>
  <c r="G126" i="1" s="1"/>
  <c r="A126" i="1" s="1"/>
  <c r="AC126" i="1" s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B123" i="1"/>
  <c r="G123" i="1" s="1"/>
  <c r="A123" i="1" s="1"/>
  <c r="AC123" i="1" s="1"/>
  <c r="AE122" i="1"/>
  <c r="X122" i="1"/>
  <c r="H122" i="1"/>
  <c r="B122" i="1"/>
  <c r="G122" i="1" s="1"/>
  <c r="A122" i="1" s="1"/>
  <c r="AC122" i="1" s="1"/>
  <c r="AE121" i="1"/>
  <c r="X121" i="1"/>
  <c r="H121" i="1"/>
  <c r="B121" i="1"/>
  <c r="G121" i="1" s="1"/>
  <c r="A121" i="1" s="1"/>
  <c r="AC121" i="1" s="1"/>
  <c r="AE120" i="1"/>
  <c r="X120" i="1"/>
  <c r="H120" i="1"/>
  <c r="B120" i="1"/>
  <c r="G120" i="1" s="1"/>
  <c r="A120" i="1" s="1"/>
  <c r="AC120" i="1" s="1"/>
  <c r="AE119" i="1"/>
  <c r="X119" i="1"/>
  <c r="H119" i="1"/>
  <c r="AE118" i="1"/>
  <c r="AB118" i="1"/>
  <c r="S118" i="1" s="1"/>
  <c r="X118" i="1"/>
  <c r="V118" i="1"/>
  <c r="W118" i="1" s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B116" i="1"/>
  <c r="G116" i="1" s="1"/>
  <c r="A116" i="1" s="1"/>
  <c r="AC116" i="1" s="1"/>
  <c r="AE115" i="1"/>
  <c r="X115" i="1"/>
  <c r="H115" i="1"/>
  <c r="B115" i="1"/>
  <c r="G115" i="1" s="1"/>
  <c r="A115" i="1" s="1"/>
  <c r="AC115" i="1" s="1"/>
  <c r="AE114" i="1"/>
  <c r="X114" i="1"/>
  <c r="H114" i="1"/>
  <c r="AE113" i="1"/>
  <c r="AB113" i="1"/>
  <c r="S113" i="1" s="1"/>
  <c r="X113" i="1"/>
  <c r="V113" i="1"/>
  <c r="W113" i="1" s="1"/>
  <c r="H113" i="1"/>
  <c r="B113" i="1"/>
  <c r="G113" i="1" s="1"/>
  <c r="A113" i="1" s="1"/>
  <c r="AC113" i="1" s="1"/>
  <c r="AE112" i="1"/>
  <c r="X112" i="1"/>
  <c r="H112" i="1"/>
  <c r="B112" i="1"/>
  <c r="G112" i="1" s="1"/>
  <c r="A112" i="1" s="1"/>
  <c r="AC112" i="1" s="1"/>
  <c r="AE111" i="1"/>
  <c r="X111" i="1"/>
  <c r="H111" i="1"/>
  <c r="B111" i="1"/>
  <c r="G111" i="1" s="1"/>
  <c r="A111" i="1" s="1"/>
  <c r="AC111" i="1" s="1"/>
  <c r="AE110" i="1"/>
  <c r="X110" i="1"/>
  <c r="H110" i="1"/>
  <c r="B110" i="1"/>
  <c r="G110" i="1" s="1"/>
  <c r="A110" i="1" s="1"/>
  <c r="AC110" i="1" s="1"/>
  <c r="AE109" i="1"/>
  <c r="X109" i="1"/>
  <c r="H109" i="1"/>
  <c r="B109" i="1"/>
  <c r="G109" i="1" s="1"/>
  <c r="A109" i="1" s="1"/>
  <c r="AC109" i="1" s="1"/>
  <c r="AE108" i="1"/>
  <c r="X108" i="1"/>
  <c r="H108" i="1"/>
  <c r="AE107" i="1"/>
  <c r="AB107" i="1"/>
  <c r="S107" i="1" s="1"/>
  <c r="X107" i="1"/>
  <c r="V107" i="1"/>
  <c r="W107" i="1" s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AE104" i="1"/>
  <c r="AB104" i="1"/>
  <c r="S104" i="1" s="1"/>
  <c r="X104" i="1"/>
  <c r="V104" i="1"/>
  <c r="W104" i="1" s="1"/>
  <c r="H104" i="1"/>
  <c r="B104" i="1"/>
  <c r="G104" i="1" s="1"/>
  <c r="A104" i="1" s="1"/>
  <c r="AC104" i="1" s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AB100" i="1"/>
  <c r="S100" i="1" s="1"/>
  <c r="X100" i="1"/>
  <c r="V100" i="1"/>
  <c r="W100" i="1" s="1"/>
  <c r="H100" i="1"/>
  <c r="B100" i="1"/>
  <c r="G100" i="1" s="1"/>
  <c r="A100" i="1" s="1"/>
  <c r="AC100" i="1" s="1"/>
  <c r="AE99" i="1"/>
  <c r="X99" i="1"/>
  <c r="H99" i="1"/>
  <c r="B99" i="1"/>
  <c r="G99" i="1" s="1"/>
  <c r="A99" i="1" s="1"/>
  <c r="AC99" i="1" s="1"/>
  <c r="AE98" i="1"/>
  <c r="X98" i="1"/>
  <c r="H98" i="1"/>
  <c r="B98" i="1"/>
  <c r="G98" i="1" s="1"/>
  <c r="A98" i="1" s="1"/>
  <c r="AC98" i="1" s="1"/>
  <c r="AE97" i="1"/>
  <c r="X97" i="1"/>
  <c r="H97" i="1"/>
  <c r="B97" i="1"/>
  <c r="G97" i="1" s="1"/>
  <c r="A97" i="1" s="1"/>
  <c r="AC97" i="1" s="1"/>
  <c r="AE96" i="1"/>
  <c r="X96" i="1"/>
  <c r="H96" i="1"/>
  <c r="B96" i="1"/>
  <c r="G96" i="1" s="1"/>
  <c r="A96" i="1" s="1"/>
  <c r="AC96" i="1" s="1"/>
  <c r="AE95" i="1"/>
  <c r="X95" i="1"/>
  <c r="H95" i="1"/>
  <c r="B95" i="1"/>
  <c r="G95" i="1" s="1"/>
  <c r="A95" i="1" s="1"/>
  <c r="AC95" i="1" s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X91" i="1"/>
  <c r="H91" i="1"/>
  <c r="B91" i="1"/>
  <c r="G91" i="1" s="1"/>
  <c r="A91" i="1" s="1"/>
  <c r="AC91" i="1" s="1"/>
  <c r="AE90" i="1"/>
  <c r="X90" i="1"/>
  <c r="H90" i="1"/>
  <c r="AE89" i="1"/>
  <c r="AB89" i="1"/>
  <c r="S89" i="1" s="1"/>
  <c r="X89" i="1"/>
  <c r="V89" i="1"/>
  <c r="W89" i="1" s="1"/>
  <c r="H89" i="1"/>
  <c r="B89" i="1"/>
  <c r="G89" i="1" s="1"/>
  <c r="A89" i="1" s="1"/>
  <c r="AC89" i="1" s="1"/>
  <c r="AE88" i="1"/>
  <c r="X88" i="1"/>
  <c r="H88" i="1"/>
  <c r="AE87" i="1"/>
  <c r="AB87" i="1"/>
  <c r="S87" i="1" s="1"/>
  <c r="X87" i="1"/>
  <c r="V87" i="1"/>
  <c r="W87" i="1" s="1"/>
  <c r="H87" i="1"/>
  <c r="B87" i="1"/>
  <c r="G87" i="1" s="1"/>
  <c r="A87" i="1" s="1"/>
  <c r="AC87" i="1" s="1"/>
  <c r="AE86" i="1"/>
  <c r="X86" i="1"/>
  <c r="H86" i="1"/>
  <c r="B86" i="1"/>
  <c r="G86" i="1" s="1"/>
  <c r="A86" i="1" s="1"/>
  <c r="AC86" i="1" s="1"/>
  <c r="AE85" i="1"/>
  <c r="X85" i="1"/>
  <c r="H85" i="1"/>
  <c r="B85" i="1"/>
  <c r="G85" i="1" s="1"/>
  <c r="A85" i="1" s="1"/>
  <c r="AC85" i="1" s="1"/>
  <c r="AE84" i="1"/>
  <c r="H84" i="1"/>
  <c r="B84" i="1"/>
  <c r="G84" i="1" s="1"/>
  <c r="A84" i="1" s="1"/>
  <c r="AC84" i="1" s="1"/>
  <c r="AE83" i="1"/>
  <c r="X83" i="1"/>
  <c r="H83" i="1"/>
  <c r="B83" i="1"/>
  <c r="G83" i="1" s="1"/>
  <c r="A83" i="1" s="1"/>
  <c r="AC83" i="1" s="1"/>
  <c r="AE82" i="1"/>
  <c r="X82" i="1"/>
  <c r="H82" i="1"/>
  <c r="AE81" i="1"/>
  <c r="AB81" i="1"/>
  <c r="S81" i="1" s="1"/>
  <c r="X81" i="1"/>
  <c r="V81" i="1"/>
  <c r="W81" i="1" s="1"/>
  <c r="H81" i="1"/>
  <c r="B81" i="1"/>
  <c r="G81" i="1" s="1"/>
  <c r="A81" i="1" s="1"/>
  <c r="AC81" i="1" s="1"/>
  <c r="AE80" i="1"/>
  <c r="X80" i="1"/>
  <c r="H80" i="1"/>
  <c r="AE79" i="1"/>
  <c r="AB79" i="1"/>
  <c r="S79" i="1" s="1"/>
  <c r="X79" i="1"/>
  <c r="V79" i="1"/>
  <c r="W79" i="1" s="1"/>
  <c r="H79" i="1"/>
  <c r="B79" i="1"/>
  <c r="G79" i="1" s="1"/>
  <c r="A79" i="1" s="1"/>
  <c r="AC79" i="1" s="1"/>
  <c r="AE78" i="1"/>
  <c r="AB78" i="1"/>
  <c r="S78" i="1" s="1"/>
  <c r="X78" i="1"/>
  <c r="V78" i="1"/>
  <c r="W78" i="1" s="1"/>
  <c r="H78" i="1"/>
  <c r="B78" i="1"/>
  <c r="G78" i="1" s="1"/>
  <c r="A78" i="1" s="1"/>
  <c r="AC78" i="1" s="1"/>
  <c r="AE77" i="1"/>
  <c r="X77" i="1"/>
  <c r="H77" i="1"/>
  <c r="AE76" i="1"/>
  <c r="AB76" i="1"/>
  <c r="S76" i="1" s="1"/>
  <c r="X76" i="1"/>
  <c r="V76" i="1"/>
  <c r="W76" i="1" s="1"/>
  <c r="H76" i="1"/>
  <c r="B76" i="1"/>
  <c r="G76" i="1" s="1"/>
  <c r="A76" i="1" s="1"/>
  <c r="AC76" i="1" s="1"/>
  <c r="AE75" i="1"/>
  <c r="X75" i="1"/>
  <c r="H75" i="1"/>
  <c r="AE74" i="1"/>
  <c r="AB74" i="1"/>
  <c r="S74" i="1" s="1"/>
  <c r="X74" i="1"/>
  <c r="V74" i="1"/>
  <c r="W74" i="1" s="1"/>
  <c r="H74" i="1"/>
  <c r="B74" i="1"/>
  <c r="G74" i="1" s="1"/>
  <c r="A74" i="1" s="1"/>
  <c r="AC74" i="1" s="1"/>
  <c r="AE73" i="1"/>
  <c r="X73" i="1"/>
  <c r="H73" i="1"/>
  <c r="B73" i="1"/>
  <c r="G73" i="1" s="1"/>
  <c r="A73" i="1" s="1"/>
  <c r="AC73" i="1" s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AE68" i="1"/>
  <c r="AB68" i="1"/>
  <c r="S68" i="1" s="1"/>
  <c r="X68" i="1"/>
  <c r="V68" i="1"/>
  <c r="W68" i="1" s="1"/>
  <c r="H68" i="1"/>
  <c r="B68" i="1"/>
  <c r="G68" i="1" s="1"/>
  <c r="A68" i="1" s="1"/>
  <c r="AC68" i="1" s="1"/>
  <c r="AE67" i="1"/>
  <c r="X67" i="1"/>
  <c r="H67" i="1"/>
  <c r="AE66" i="1"/>
  <c r="AB66" i="1"/>
  <c r="S66" i="1" s="1"/>
  <c r="X66" i="1"/>
  <c r="V66" i="1"/>
  <c r="W66" i="1" s="1"/>
  <c r="H66" i="1"/>
  <c r="B66" i="1"/>
  <c r="G66" i="1" s="1"/>
  <c r="A66" i="1" s="1"/>
  <c r="AC66" i="1" s="1"/>
  <c r="AE65" i="1"/>
  <c r="X65" i="1"/>
  <c r="H65" i="1"/>
  <c r="B65" i="1"/>
  <c r="G65" i="1" s="1"/>
  <c r="A65" i="1" s="1"/>
  <c r="AC65" i="1" s="1"/>
  <c r="AE64" i="1"/>
  <c r="X64" i="1"/>
  <c r="H64" i="1"/>
  <c r="B64" i="1"/>
  <c r="G64" i="1" s="1"/>
  <c r="A64" i="1" s="1"/>
  <c r="AC64" i="1" s="1"/>
  <c r="AE63" i="1"/>
  <c r="X63" i="1"/>
  <c r="H63" i="1"/>
  <c r="B63" i="1"/>
  <c r="G63" i="1" s="1"/>
  <c r="A63" i="1" s="1"/>
  <c r="AC63" i="1" s="1"/>
  <c r="AE62" i="1"/>
  <c r="X62" i="1"/>
  <c r="H62" i="1"/>
  <c r="B62" i="1"/>
  <c r="G62" i="1" s="1"/>
  <c r="A62" i="1" s="1"/>
  <c r="AC62" i="1" s="1"/>
  <c r="AE61" i="1"/>
  <c r="X61" i="1"/>
  <c r="H61" i="1"/>
  <c r="B61" i="1"/>
  <c r="G61" i="1" s="1"/>
  <c r="A61" i="1" s="1"/>
  <c r="AC61" i="1" s="1"/>
  <c r="AE60" i="1"/>
  <c r="X60" i="1"/>
  <c r="H60" i="1"/>
  <c r="AE59" i="1"/>
  <c r="AB59" i="1"/>
  <c r="S59" i="1" s="1"/>
  <c r="X59" i="1"/>
  <c r="V59" i="1"/>
  <c r="W59" i="1" s="1"/>
  <c r="H59" i="1"/>
  <c r="B59" i="1"/>
  <c r="G59" i="1" s="1"/>
  <c r="A59" i="1" s="1"/>
  <c r="AC59" i="1" s="1"/>
  <c r="AE58" i="1"/>
  <c r="X58" i="1"/>
  <c r="H58" i="1"/>
  <c r="AE57" i="1"/>
  <c r="AB57" i="1"/>
  <c r="S57" i="1" s="1"/>
  <c r="X57" i="1"/>
  <c r="V57" i="1"/>
  <c r="W57" i="1" s="1"/>
  <c r="H57" i="1"/>
  <c r="B57" i="1"/>
  <c r="G57" i="1" s="1"/>
  <c r="A57" i="1" s="1"/>
  <c r="AC57" i="1" s="1"/>
  <c r="AE56" i="1"/>
  <c r="X56" i="1"/>
  <c r="H56" i="1"/>
  <c r="AE55" i="1"/>
  <c r="AB55" i="1"/>
  <c r="S55" i="1" s="1"/>
  <c r="X55" i="1"/>
  <c r="V55" i="1"/>
  <c r="W55" i="1" s="1"/>
  <c r="H55" i="1"/>
  <c r="B55" i="1"/>
  <c r="G55" i="1" s="1"/>
  <c r="A55" i="1" s="1"/>
  <c r="AC55" i="1" s="1"/>
  <c r="AE54" i="1"/>
  <c r="X54" i="1"/>
  <c r="H54" i="1"/>
  <c r="B54" i="1"/>
  <c r="G54" i="1" s="1"/>
  <c r="A54" i="1" s="1"/>
  <c r="AC54" i="1" s="1"/>
  <c r="AE53" i="1"/>
  <c r="X53" i="1"/>
  <c r="H53" i="1"/>
  <c r="B53" i="1"/>
  <c r="G53" i="1" s="1"/>
  <c r="A53" i="1" s="1"/>
  <c r="AC53" i="1" s="1"/>
  <c r="AE52" i="1"/>
  <c r="X52" i="1"/>
  <c r="H52" i="1"/>
  <c r="B52" i="1"/>
  <c r="G52" i="1" s="1"/>
  <c r="A52" i="1" s="1"/>
  <c r="AC52" i="1" s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H45" i="1"/>
  <c r="AE44" i="1"/>
  <c r="X44" i="1"/>
  <c r="H44" i="1"/>
  <c r="AE43" i="1"/>
  <c r="X43" i="1"/>
  <c r="H43" i="1"/>
  <c r="AE42" i="1"/>
  <c r="X42" i="1"/>
  <c r="H42" i="1"/>
  <c r="AE41" i="1"/>
  <c r="X41" i="1"/>
  <c r="H41" i="1"/>
  <c r="AE40" i="1"/>
  <c r="X40" i="1"/>
  <c r="H40" i="1"/>
  <c r="AE39" i="1"/>
  <c r="X39" i="1"/>
  <c r="H39" i="1"/>
  <c r="AE38" i="1"/>
  <c r="X38" i="1"/>
  <c r="H38" i="1"/>
  <c r="AE37" i="1"/>
  <c r="X37" i="1"/>
  <c r="H37" i="1"/>
  <c r="AE34" i="1"/>
  <c r="X34" i="1"/>
  <c r="H34" i="1"/>
  <c r="AE33" i="1"/>
  <c r="X33" i="1"/>
  <c r="H33" i="1"/>
  <c r="AE32" i="1"/>
  <c r="X32" i="1"/>
  <c r="H32" i="1"/>
  <c r="B32" i="1"/>
  <c r="G32" i="1" s="1"/>
  <c r="A32" i="1" s="1"/>
  <c r="AE31" i="1"/>
  <c r="X31" i="1"/>
  <c r="H31" i="1"/>
  <c r="AE30" i="1"/>
  <c r="AB30" i="1"/>
  <c r="S30" i="1" s="1"/>
  <c r="X30" i="1"/>
  <c r="V30" i="1"/>
  <c r="W30" i="1" s="1"/>
  <c r="H30" i="1"/>
  <c r="B30" i="1"/>
  <c r="G30" i="1" s="1"/>
  <c r="A30" i="1" s="1"/>
  <c r="AC30" i="1" s="1"/>
  <c r="AE29" i="1"/>
  <c r="X29" i="1"/>
  <c r="H29" i="1"/>
  <c r="AE28" i="1"/>
  <c r="X28" i="1"/>
  <c r="H28" i="1"/>
  <c r="B28" i="1"/>
  <c r="G28" i="1" s="1"/>
  <c r="A28" i="1" s="1"/>
  <c r="AC28" i="1" s="1"/>
  <c r="AE27" i="1"/>
  <c r="X27" i="1"/>
  <c r="H27" i="1"/>
  <c r="AE26" i="1"/>
  <c r="X26" i="1"/>
  <c r="H26" i="1"/>
  <c r="B26" i="1"/>
  <c r="G26" i="1" s="1"/>
  <c r="A26" i="1" s="1"/>
  <c r="AC26" i="1" s="1"/>
  <c r="AE25" i="1"/>
  <c r="X25" i="1"/>
  <c r="H25" i="1"/>
  <c r="B25" i="1"/>
  <c r="G25" i="1" s="1"/>
  <c r="A25" i="1" s="1"/>
  <c r="AC25" i="1" s="1"/>
  <c r="AE24" i="1"/>
  <c r="X24" i="1"/>
  <c r="H24" i="1"/>
  <c r="AE23" i="1"/>
  <c r="X23" i="1"/>
  <c r="H23" i="1"/>
  <c r="AE22" i="1"/>
  <c r="X22" i="1"/>
  <c r="H22" i="1"/>
  <c r="AE21" i="1"/>
  <c r="X21" i="1"/>
  <c r="H21" i="1"/>
  <c r="AE20" i="1"/>
  <c r="X20" i="1"/>
  <c r="H20" i="1"/>
  <c r="AE19" i="1"/>
  <c r="X19" i="1"/>
  <c r="H19" i="1"/>
  <c r="AE18" i="1"/>
  <c r="X18" i="1"/>
  <c r="H18" i="1"/>
  <c r="B18" i="1"/>
  <c r="G18" i="1" s="1"/>
  <c r="A18" i="1" s="1"/>
  <c r="AC18" i="1" s="1"/>
  <c r="AE17" i="1"/>
  <c r="X17" i="1"/>
  <c r="H17" i="1"/>
  <c r="AE16" i="1"/>
  <c r="X16" i="1"/>
  <c r="H16" i="1"/>
  <c r="B16" i="1"/>
  <c r="G16" i="1" s="1"/>
  <c r="A16" i="1" s="1"/>
  <c r="AC16" i="1" s="1"/>
  <c r="AE15" i="1"/>
  <c r="X15" i="1"/>
  <c r="H15" i="1"/>
  <c r="AE14" i="1"/>
  <c r="X14" i="1"/>
  <c r="H14" i="1"/>
  <c r="AE13" i="1"/>
  <c r="X13" i="1"/>
  <c r="H13" i="1"/>
  <c r="B13" i="1"/>
  <c r="G13" i="1" s="1"/>
  <c r="A13" i="1" s="1"/>
  <c r="AC13" i="1" s="1"/>
  <c r="AE12" i="1"/>
  <c r="X12" i="1"/>
  <c r="H12" i="1"/>
  <c r="AE11" i="1"/>
  <c r="X11" i="1"/>
  <c r="H11" i="1"/>
  <c r="AE10" i="1"/>
  <c r="X10" i="1"/>
  <c r="H10" i="1"/>
  <c r="B10" i="1"/>
  <c r="G10" i="1" s="1"/>
  <c r="A10" i="1" s="1"/>
  <c r="AC10" i="1" s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B7" i="1"/>
  <c r="G7" i="1" s="1"/>
  <c r="A7" i="1" s="1"/>
  <c r="AC7" i="1" s="1"/>
  <c r="AE6" i="1"/>
  <c r="X6" i="1"/>
  <c r="H6" i="1"/>
  <c r="B6" i="1"/>
  <c r="G6" i="1" s="1"/>
  <c r="A6" i="1" s="1"/>
  <c r="AC6" i="1" s="1"/>
  <c r="AE5" i="1"/>
  <c r="X5" i="1"/>
  <c r="H5" i="1"/>
  <c r="AE4" i="1"/>
  <c r="AB4" i="1"/>
  <c r="S4" i="1" s="1"/>
  <c r="X4" i="1"/>
  <c r="V4" i="1"/>
  <c r="W4" i="1" s="1"/>
  <c r="H4" i="1"/>
  <c r="B4" i="1"/>
  <c r="G4" i="1" s="1"/>
  <c r="A4" i="1" s="1"/>
  <c r="AC4" i="1" s="1"/>
  <c r="AE3" i="1"/>
  <c r="X3" i="1"/>
  <c r="H3" i="1"/>
  <c r="B3" i="1"/>
  <c r="V165" i="1"/>
  <c r="V162" i="1"/>
  <c r="V163" i="1"/>
  <c r="V166" i="1"/>
  <c r="G3" i="1" l="1"/>
  <c r="A3" i="1" s="1"/>
  <c r="V3" i="1" s="1"/>
  <c r="B33" i="1"/>
  <c r="Y3" i="1"/>
  <c r="Z3" i="1"/>
  <c r="Z4" i="1"/>
  <c r="Y4" i="1"/>
  <c r="Z6" i="1"/>
  <c r="Y6" i="1"/>
  <c r="Z14" i="1"/>
  <c r="Y14" i="1"/>
  <c r="Y21" i="1"/>
  <c r="Z24" i="1"/>
  <c r="Y24" i="1"/>
  <c r="Z28" i="1"/>
  <c r="Y28" i="1"/>
  <c r="Y31" i="1"/>
  <c r="Z31" i="1"/>
  <c r="Z34" i="1"/>
  <c r="Y34" i="1"/>
  <c r="AA34" i="1" s="1"/>
  <c r="Z38" i="1"/>
  <c r="Y38" i="1"/>
  <c r="Z39" i="1"/>
  <c r="Y39" i="1"/>
  <c r="Z42" i="1"/>
  <c r="Y42" i="1"/>
  <c r="Z45" i="1"/>
  <c r="Y45" i="1"/>
  <c r="AA45" i="1" s="1"/>
  <c r="Z47" i="1"/>
  <c r="Y47" i="1"/>
  <c r="Z49" i="1"/>
  <c r="Y49" i="1"/>
  <c r="Z51" i="1"/>
  <c r="Y51" i="1"/>
  <c r="Z53" i="1"/>
  <c r="Y53" i="1"/>
  <c r="AA53" i="1" s="1"/>
  <c r="Y56" i="1"/>
  <c r="Z56" i="1"/>
  <c r="Z57" i="1"/>
  <c r="Y57" i="1"/>
  <c r="Y60" i="1"/>
  <c r="Z60" i="1"/>
  <c r="Z62" i="1"/>
  <c r="Y62" i="1"/>
  <c r="AA62" i="1" s="1"/>
  <c r="Y64" i="1"/>
  <c r="Z64" i="1"/>
  <c r="Z67" i="1"/>
  <c r="Y67" i="1"/>
  <c r="AA67" i="1" s="1"/>
  <c r="Y68" i="1"/>
  <c r="Z68" i="1"/>
  <c r="Z70" i="1"/>
  <c r="Y70" i="1"/>
  <c r="AA70" i="1" s="1"/>
  <c r="Y72" i="1"/>
  <c r="Z72" i="1"/>
  <c r="Z75" i="1"/>
  <c r="Y75" i="1"/>
  <c r="AA75" i="1" s="1"/>
  <c r="Y76" i="1"/>
  <c r="Z76" i="1"/>
  <c r="Z79" i="1"/>
  <c r="Y79" i="1"/>
  <c r="Z82" i="1"/>
  <c r="Y82" i="1"/>
  <c r="AA82" i="1" s="1"/>
  <c r="Z85" i="1"/>
  <c r="Y85" i="1"/>
  <c r="AA85" i="1" s="1"/>
  <c r="Y88" i="1"/>
  <c r="Z88" i="1"/>
  <c r="Z89" i="1"/>
  <c r="Y89" i="1"/>
  <c r="Z91" i="1"/>
  <c r="Y91" i="1"/>
  <c r="AA91" i="1" s="1"/>
  <c r="Z93" i="1"/>
  <c r="Y93" i="1"/>
  <c r="AA93" i="1" s="1"/>
  <c r="Z95" i="1"/>
  <c r="Y95" i="1"/>
  <c r="AA95" i="1" s="1"/>
  <c r="Z97" i="1"/>
  <c r="Y97" i="1"/>
  <c r="AA97" i="1" s="1"/>
  <c r="Z99" i="1"/>
  <c r="Y99" i="1"/>
  <c r="AA99" i="1" s="1"/>
  <c r="Y100" i="1"/>
  <c r="Z100" i="1"/>
  <c r="Z102" i="1"/>
  <c r="Y102" i="1"/>
  <c r="AA102" i="1" s="1"/>
  <c r="Z105" i="1"/>
  <c r="Y105" i="1"/>
  <c r="Y108" i="1"/>
  <c r="Z108" i="1"/>
  <c r="Z110" i="1"/>
  <c r="Y110" i="1"/>
  <c r="AA110" i="1" s="1"/>
  <c r="Y112" i="1"/>
  <c r="Z112" i="1"/>
  <c r="Z113" i="1"/>
  <c r="Y113" i="1"/>
  <c r="Z115" i="1"/>
  <c r="Y115" i="1"/>
  <c r="AA115" i="1" s="1"/>
  <c r="Z117" i="1"/>
  <c r="Y117" i="1"/>
  <c r="AA117" i="1" s="1"/>
  <c r="Z118" i="1"/>
  <c r="Y118" i="1"/>
  <c r="Y120" i="1"/>
  <c r="Z120" i="1"/>
  <c r="Z122" i="1"/>
  <c r="Y122" i="1"/>
  <c r="AA122" i="1" s="1"/>
  <c r="Z124" i="1"/>
  <c r="Y124" i="1"/>
  <c r="AA124" i="1" s="1"/>
  <c r="Z126" i="1"/>
  <c r="Y126" i="1"/>
  <c r="AA126" i="1" s="1"/>
  <c r="Z128" i="1"/>
  <c r="Y128" i="1"/>
  <c r="AA128" i="1" s="1"/>
  <c r="Z130" i="1"/>
  <c r="Y130" i="1"/>
  <c r="AA130" i="1" s="1"/>
  <c r="Y133" i="1"/>
  <c r="Z133" i="1"/>
  <c r="Z134" i="1"/>
  <c r="Y134" i="1"/>
  <c r="Y137" i="1"/>
  <c r="Z137" i="1"/>
  <c r="AA137" i="1" s="1"/>
  <c r="Z139" i="1"/>
  <c r="Y139" i="1"/>
  <c r="AA139" i="1" s="1"/>
  <c r="Y141" i="1"/>
  <c r="Z141" i="1"/>
  <c r="Z142" i="1"/>
  <c r="Y142" i="1"/>
  <c r="Z144" i="1"/>
  <c r="Y144" i="1"/>
  <c r="AA144" i="1" s="1"/>
  <c r="Z146" i="1"/>
  <c r="Y146" i="1"/>
  <c r="AA146" i="1" s="1"/>
  <c r="Z147" i="1"/>
  <c r="Y147" i="1"/>
  <c r="Z150" i="1"/>
  <c r="Y150" i="1"/>
  <c r="AA150" i="1" s="1"/>
  <c r="Z151" i="1"/>
  <c r="Y151" i="1"/>
  <c r="Y153" i="1"/>
  <c r="Z153" i="1"/>
  <c r="AA153" i="1" s="1"/>
  <c r="Y155" i="1"/>
  <c r="Z156" i="1"/>
  <c r="Y156" i="1"/>
  <c r="Z8" i="1"/>
  <c r="Y8" i="1"/>
  <c r="Y11" i="1"/>
  <c r="Z11" i="1"/>
  <c r="Y17" i="1"/>
  <c r="Z20" i="1"/>
  <c r="Y20" i="1"/>
  <c r="Y27" i="1"/>
  <c r="Z27" i="1"/>
  <c r="Z5" i="1"/>
  <c r="Y5" i="1"/>
  <c r="Y7" i="1"/>
  <c r="Z7" i="1"/>
  <c r="Z9" i="1"/>
  <c r="Y9" i="1"/>
  <c r="Z10" i="1"/>
  <c r="Y10" i="1"/>
  <c r="Z12" i="1"/>
  <c r="Y12" i="1"/>
  <c r="Z13" i="1"/>
  <c r="Y13" i="1"/>
  <c r="Y15" i="1"/>
  <c r="Z15" i="1" s="1"/>
  <c r="Z16" i="1"/>
  <c r="Y16" i="1"/>
  <c r="Z18" i="1"/>
  <c r="Y18" i="1"/>
  <c r="AA18" i="1" s="1"/>
  <c r="Y19" i="1"/>
  <c r="Z19" i="1"/>
  <c r="Z22" i="1"/>
  <c r="Y22" i="1"/>
  <c r="AA22" i="1" s="1"/>
  <c r="Y23" i="1"/>
  <c r="AA23" i="1" s="1"/>
  <c r="AB23" i="1" s="1"/>
  <c r="S23" i="1" s="1"/>
  <c r="Z23" i="1"/>
  <c r="Z25" i="1"/>
  <c r="Y25" i="1"/>
  <c r="Z26" i="1"/>
  <c r="Y26" i="1"/>
  <c r="Z29" i="1"/>
  <c r="Y29" i="1"/>
  <c r="Z30" i="1"/>
  <c r="Y30" i="1"/>
  <c r="Z32" i="1"/>
  <c r="Y32" i="1"/>
  <c r="Z33" i="1"/>
  <c r="Y33" i="1"/>
  <c r="Z37" i="1"/>
  <c r="Y37" i="1"/>
  <c r="Y40" i="1"/>
  <c r="Z40" i="1"/>
  <c r="Z41" i="1"/>
  <c r="Y41" i="1"/>
  <c r="Z43" i="1"/>
  <c r="Y43" i="1"/>
  <c r="Y44" i="1"/>
  <c r="Z44" i="1"/>
  <c r="Z46" i="1"/>
  <c r="Y46" i="1"/>
  <c r="AA46" i="1" s="1"/>
  <c r="Y48" i="1"/>
  <c r="Z48" i="1"/>
  <c r="Z50" i="1"/>
  <c r="Y50" i="1"/>
  <c r="AA50" i="1" s="1"/>
  <c r="Y52" i="1"/>
  <c r="Z52" i="1"/>
  <c r="Z54" i="1"/>
  <c r="Y54" i="1"/>
  <c r="AA54" i="1" s="1"/>
  <c r="Z55" i="1"/>
  <c r="Y55" i="1"/>
  <c r="Z58" i="1"/>
  <c r="Y58" i="1"/>
  <c r="AA58" i="1" s="1"/>
  <c r="Z59" i="1"/>
  <c r="Y59" i="1"/>
  <c r="Z61" i="1"/>
  <c r="Y61" i="1"/>
  <c r="Z63" i="1"/>
  <c r="Y63" i="1"/>
  <c r="AA63" i="1" s="1"/>
  <c r="Z65" i="1"/>
  <c r="Y65" i="1"/>
  <c r="AA65" i="1" s="1"/>
  <c r="Z66" i="1"/>
  <c r="Y66" i="1"/>
  <c r="Z69" i="1"/>
  <c r="Y69" i="1"/>
  <c r="Z71" i="1"/>
  <c r="Y71" i="1"/>
  <c r="AA71" i="1" s="1"/>
  <c r="Z73" i="1"/>
  <c r="Y73" i="1"/>
  <c r="AA73" i="1" s="1"/>
  <c r="Z74" i="1"/>
  <c r="Y74" i="1"/>
  <c r="Z77" i="1"/>
  <c r="Y77" i="1"/>
  <c r="Z78" i="1"/>
  <c r="Y78" i="1"/>
  <c r="Y80" i="1"/>
  <c r="Z80" i="1"/>
  <c r="Z81" i="1"/>
  <c r="Y81" i="1"/>
  <c r="Z83" i="1"/>
  <c r="Y83" i="1"/>
  <c r="AA83" i="1" s="1"/>
  <c r="Z86" i="1"/>
  <c r="Y86" i="1"/>
  <c r="AA86" i="1" s="1"/>
  <c r="Z87" i="1"/>
  <c r="Y87" i="1"/>
  <c r="Z90" i="1"/>
  <c r="Y90" i="1"/>
  <c r="AA90" i="1" s="1"/>
  <c r="Y92" i="1"/>
  <c r="Z92" i="1"/>
  <c r="Z94" i="1"/>
  <c r="Y94" i="1"/>
  <c r="AA94" i="1" s="1"/>
  <c r="Y96" i="1"/>
  <c r="Z96" i="1"/>
  <c r="Z98" i="1"/>
  <c r="Y98" i="1"/>
  <c r="AA98" i="1" s="1"/>
  <c r="Z101" i="1"/>
  <c r="Y101" i="1"/>
  <c r="AA101" i="1" s="1"/>
  <c r="Z103" i="1"/>
  <c r="Y103" i="1"/>
  <c r="AA103" i="1" s="1"/>
  <c r="Y104" i="1"/>
  <c r="Z104" i="1"/>
  <c r="Z106" i="1"/>
  <c r="Y106" i="1"/>
  <c r="AA106" i="1" s="1"/>
  <c r="Z107" i="1"/>
  <c r="Y107" i="1"/>
  <c r="Z109" i="1"/>
  <c r="Y109" i="1"/>
  <c r="AA109" i="1" s="1"/>
  <c r="Z111" i="1"/>
  <c r="Y111" i="1"/>
  <c r="AA111" i="1" s="1"/>
  <c r="Z114" i="1"/>
  <c r="Y114" i="1"/>
  <c r="AA114" i="1" s="1"/>
  <c r="Y116" i="1"/>
  <c r="Z116" i="1"/>
  <c r="Z119" i="1"/>
  <c r="Y119" i="1"/>
  <c r="AA119" i="1" s="1"/>
  <c r="Z123" i="1"/>
  <c r="Y123" i="1"/>
  <c r="AA123" i="1" s="1"/>
  <c r="Y125" i="1"/>
  <c r="Z125" i="1"/>
  <c r="Z127" i="1"/>
  <c r="Y127" i="1"/>
  <c r="AA127" i="1" s="1"/>
  <c r="Y129" i="1"/>
  <c r="Z129" i="1"/>
  <c r="Z131" i="1"/>
  <c r="Y131" i="1"/>
  <c r="AA131" i="1" s="1"/>
  <c r="Z132" i="1"/>
  <c r="Y132" i="1"/>
  <c r="Z135" i="1"/>
  <c r="Y135" i="1"/>
  <c r="AA135" i="1" s="1"/>
  <c r="Z136" i="1"/>
  <c r="Y136" i="1"/>
  <c r="Z138" i="1"/>
  <c r="Y138" i="1"/>
  <c r="AA138" i="1" s="1"/>
  <c r="Z140" i="1"/>
  <c r="Y140" i="1"/>
  <c r="AA140" i="1" s="1"/>
  <c r="Z143" i="1"/>
  <c r="Y143" i="1"/>
  <c r="AA143" i="1" s="1"/>
  <c r="Y145" i="1"/>
  <c r="Z145" i="1"/>
  <c r="Z148" i="1"/>
  <c r="Y148" i="1"/>
  <c r="AA148" i="1" s="1"/>
  <c r="Y149" i="1"/>
  <c r="Z149" i="1"/>
  <c r="Y152" i="1"/>
  <c r="Y154" i="1"/>
  <c r="Y157" i="1"/>
  <c r="Z157" i="1"/>
  <c r="Z158" i="1"/>
  <c r="Y158" i="1"/>
  <c r="Z121" i="1"/>
  <c r="Y121" i="1"/>
  <c r="Y160" i="1"/>
  <c r="Z160" i="1"/>
  <c r="Y161" i="1"/>
  <c r="Z161" i="1"/>
  <c r="Z163" i="1"/>
  <c r="Y163" i="1"/>
  <c r="Z165" i="1"/>
  <c r="Y165" i="1"/>
  <c r="AA165" i="1" s="1"/>
  <c r="AB165" i="1" s="1"/>
  <c r="S165" i="1" s="1"/>
  <c r="Y167" i="1"/>
  <c r="Z167" i="1"/>
  <c r="Z169" i="1"/>
  <c r="Y169" i="1"/>
  <c r="Z171" i="1"/>
  <c r="Y171" i="1"/>
  <c r="Y173" i="1"/>
  <c r="Z173" i="1"/>
  <c r="Z175" i="1"/>
  <c r="Y175" i="1"/>
  <c r="Z177" i="1"/>
  <c r="Y177" i="1"/>
  <c r="Y179" i="1"/>
  <c r="Z179" i="1"/>
  <c r="Z181" i="1"/>
  <c r="Y181" i="1"/>
  <c r="Y183" i="1"/>
  <c r="Z183" i="1"/>
  <c r="Z185" i="1"/>
  <c r="Y185" i="1"/>
  <c r="Z187" i="1"/>
  <c r="Y187" i="1"/>
  <c r="Y189" i="1"/>
  <c r="Z189" i="1"/>
  <c r="Z191" i="1"/>
  <c r="Y191" i="1"/>
  <c r="Y193" i="1"/>
  <c r="Z193" i="1"/>
  <c r="Z195" i="1"/>
  <c r="Y195" i="1"/>
  <c r="Z197" i="1"/>
  <c r="Y197" i="1"/>
  <c r="Y199" i="1"/>
  <c r="Z199" i="1"/>
  <c r="Z201" i="1"/>
  <c r="Y201" i="1"/>
  <c r="Z203" i="1"/>
  <c r="Y203" i="1"/>
  <c r="Y205" i="1"/>
  <c r="Z205" i="1"/>
  <c r="Z207" i="1"/>
  <c r="Y207" i="1"/>
  <c r="Y209" i="1"/>
  <c r="Z209" i="1"/>
  <c r="Z211" i="1"/>
  <c r="Y211" i="1"/>
  <c r="Y213" i="1"/>
  <c r="Z213" i="1"/>
  <c r="Z215" i="1"/>
  <c r="Y215" i="1"/>
  <c r="Z159" i="1"/>
  <c r="Y159" i="1"/>
  <c r="AA159" i="1" s="1"/>
  <c r="Y162" i="1"/>
  <c r="Z162" i="1"/>
  <c r="Y164" i="1"/>
  <c r="Z164" i="1"/>
  <c r="Y166" i="1"/>
  <c r="Z166" i="1"/>
  <c r="Y168" i="1"/>
  <c r="Z168" i="1"/>
  <c r="Y170" i="1"/>
  <c r="Z170" i="1"/>
  <c r="Y172" i="1"/>
  <c r="Z172" i="1"/>
  <c r="Y174" i="1"/>
  <c r="Z174" i="1"/>
  <c r="Z176" i="1"/>
  <c r="Y176" i="1"/>
  <c r="Y178" i="1"/>
  <c r="Z178" i="1"/>
  <c r="Y180" i="1"/>
  <c r="Z180" i="1"/>
  <c r="Y182" i="1"/>
  <c r="Z182" i="1"/>
  <c r="Y184" i="1"/>
  <c r="Z184" i="1"/>
  <c r="Y186" i="1"/>
  <c r="Z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Z210" i="1"/>
  <c r="Y210" i="1"/>
  <c r="Y212" i="1"/>
  <c r="Z212" i="1"/>
  <c r="Y214" i="1"/>
  <c r="Z214" i="1"/>
  <c r="Y216" i="1"/>
  <c r="Z216" i="1"/>
  <c r="B5" i="1"/>
  <c r="AB22" i="1"/>
  <c r="S22" i="1" s="1"/>
  <c r="AB45" i="1"/>
  <c r="S45" i="1" s="1"/>
  <c r="AB46" i="1"/>
  <c r="S46" i="1" s="1"/>
  <c r="AB54" i="1"/>
  <c r="S54" i="1" s="1"/>
  <c r="AB63" i="1"/>
  <c r="S63" i="1" s="1"/>
  <c r="AB65" i="1"/>
  <c r="S65" i="1" s="1"/>
  <c r="AB67" i="1"/>
  <c r="S67" i="1" s="1"/>
  <c r="AB71" i="1"/>
  <c r="S71" i="1" s="1"/>
  <c r="AB73" i="1"/>
  <c r="S73" i="1" s="1"/>
  <c r="AB75" i="1"/>
  <c r="S75" i="1" s="1"/>
  <c r="AB85" i="1"/>
  <c r="S85" i="1" s="1"/>
  <c r="AB90" i="1"/>
  <c r="S90" i="1" s="1"/>
  <c r="AB91" i="1"/>
  <c r="S91" i="1" s="1"/>
  <c r="AB101" i="1"/>
  <c r="S101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AB18" i="1"/>
  <c r="S18" i="1" s="1"/>
  <c r="AB34" i="1"/>
  <c r="S34" i="1" s="1"/>
  <c r="AB50" i="1"/>
  <c r="S50" i="1" s="1"/>
  <c r="AB53" i="1"/>
  <c r="S53" i="1" s="1"/>
  <c r="AB58" i="1"/>
  <c r="S58" i="1" s="1"/>
  <c r="AB62" i="1"/>
  <c r="S62" i="1" s="1"/>
  <c r="B9" i="1"/>
  <c r="G9" i="1" s="1"/>
  <c r="A9" i="1" s="1"/>
  <c r="AB70" i="1"/>
  <c r="S70" i="1" s="1"/>
  <c r="AB82" i="1"/>
  <c r="S82" i="1" s="1"/>
  <c r="AB83" i="1"/>
  <c r="S83" i="1" s="1"/>
  <c r="X84" i="1"/>
  <c r="AB86" i="1"/>
  <c r="S86" i="1" s="1"/>
  <c r="AB93" i="1"/>
  <c r="S93" i="1" s="1"/>
  <c r="AB94" i="1"/>
  <c r="S94" i="1" s="1"/>
  <c r="AB95" i="1"/>
  <c r="S95" i="1" s="1"/>
  <c r="AB97" i="1"/>
  <c r="S97" i="1" s="1"/>
  <c r="AB98" i="1"/>
  <c r="S98" i="1" s="1"/>
  <c r="AB99" i="1"/>
  <c r="S99" i="1" s="1"/>
  <c r="AB102" i="1"/>
  <c r="S102" i="1" s="1"/>
  <c r="AB103" i="1"/>
  <c r="S103" i="1" s="1"/>
  <c r="AB106" i="1"/>
  <c r="S106" i="1" s="1"/>
  <c r="AB109" i="1"/>
  <c r="S109" i="1" s="1"/>
  <c r="AB119" i="1"/>
  <c r="S119" i="1" s="1"/>
  <c r="C58" i="5"/>
  <c r="I58" i="5" s="1"/>
  <c r="AB138" i="1"/>
  <c r="S138" i="1" s="1"/>
  <c r="AB140" i="1"/>
  <c r="S140" i="1" s="1"/>
  <c r="AB144" i="1"/>
  <c r="S144" i="1" s="1"/>
  <c r="AB146" i="1"/>
  <c r="S146" i="1" s="1"/>
  <c r="AB159" i="1"/>
  <c r="S159" i="1" s="1"/>
  <c r="AB153" i="1"/>
  <c r="S153" i="1" s="1"/>
  <c r="AB150" i="1"/>
  <c r="S150" i="1" s="1"/>
  <c r="AB148" i="1"/>
  <c r="S148" i="1" s="1"/>
  <c r="AB143" i="1"/>
  <c r="S143" i="1" s="1"/>
  <c r="AB137" i="1"/>
  <c r="S137" i="1" s="1"/>
  <c r="AB139" i="1"/>
  <c r="S139" i="1" s="1"/>
  <c r="AB135" i="1"/>
  <c r="S135" i="1" s="1"/>
  <c r="C7" i="5"/>
  <c r="I7" i="5" s="1"/>
  <c r="C21" i="5"/>
  <c r="I21" i="5" s="1"/>
  <c r="C6" i="5"/>
  <c r="I6" i="5" s="1"/>
  <c r="C12" i="5"/>
  <c r="I12" i="5" s="1"/>
  <c r="C47" i="5"/>
  <c r="I47" i="5" s="1"/>
  <c r="AB131" i="1"/>
  <c r="S131" i="1" s="1"/>
  <c r="AB127" i="1"/>
  <c r="S127" i="1" s="1"/>
  <c r="AB123" i="1"/>
  <c r="S123" i="1" s="1"/>
  <c r="AB122" i="1"/>
  <c r="S122" i="1" s="1"/>
  <c r="AB124" i="1"/>
  <c r="S124" i="1" s="1"/>
  <c r="AB126" i="1"/>
  <c r="S126" i="1" s="1"/>
  <c r="AB128" i="1"/>
  <c r="S128" i="1" s="1"/>
  <c r="AB130" i="1"/>
  <c r="S130" i="1" s="1"/>
  <c r="C50" i="5"/>
  <c r="I50" i="5" s="1"/>
  <c r="AB111" i="1"/>
  <c r="C33" i="5"/>
  <c r="I33" i="5" s="1"/>
  <c r="C35" i="5"/>
  <c r="I35" i="5" s="1"/>
  <c r="C43" i="5"/>
  <c r="I43" i="5" s="1"/>
  <c r="C32" i="5"/>
  <c r="I32" i="5" s="1"/>
  <c r="C34" i="5"/>
  <c r="I34" i="5" s="1"/>
  <c r="AB117" i="1"/>
  <c r="S117" i="1" s="1"/>
  <c r="AB115" i="1"/>
  <c r="S115" i="1" s="1"/>
  <c r="AB114" i="1"/>
  <c r="S114" i="1" s="1"/>
  <c r="AB110" i="1"/>
  <c r="S110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G5" i="5"/>
  <c r="K5" i="5" s="1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E23" i="5"/>
  <c r="D23" i="5" s="1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G39" i="5"/>
  <c r="K39" i="5" s="1"/>
  <c r="F40" i="5"/>
  <c r="H40" i="5"/>
  <c r="E41" i="5"/>
  <c r="D41" i="5" s="1"/>
  <c r="F42" i="5"/>
  <c r="H42" i="5"/>
  <c r="F44" i="5"/>
  <c r="H44" i="5"/>
  <c r="E45" i="5"/>
  <c r="D45" i="5" s="1"/>
  <c r="F46" i="5"/>
  <c r="H46" i="5"/>
  <c r="E47" i="5"/>
  <c r="D47" i="5" s="1"/>
  <c r="F48" i="5"/>
  <c r="H48" i="5"/>
  <c r="G49" i="5"/>
  <c r="K49" i="5" s="1"/>
  <c r="F50" i="5"/>
  <c r="H50" i="5"/>
  <c r="G51" i="5"/>
  <c r="K51" i="5" s="1"/>
  <c r="H51" i="5"/>
  <c r="G55" i="5"/>
  <c r="K55" i="5" s="1"/>
  <c r="G59" i="5"/>
  <c r="K59" i="5" s="1"/>
  <c r="G61" i="5"/>
  <c r="K61" i="5" s="1"/>
  <c r="E63" i="5"/>
  <c r="D63" i="5" s="1"/>
  <c r="E67" i="5"/>
  <c r="D67" i="5" s="1"/>
  <c r="E54" i="5"/>
  <c r="D54" i="5" s="1"/>
  <c r="G56" i="5"/>
  <c r="K56" i="5" s="1"/>
  <c r="E60" i="5"/>
  <c r="D60" i="5" s="1"/>
  <c r="E64" i="5"/>
  <c r="D64" i="5" s="1"/>
  <c r="E68" i="5"/>
  <c r="D68" i="5" s="1"/>
  <c r="V167" i="1"/>
  <c r="G13" i="5" l="1"/>
  <c r="K13" i="5" s="1"/>
  <c r="AA51" i="1"/>
  <c r="AB51" i="1" s="1"/>
  <c r="S51" i="1" s="1"/>
  <c r="G7" i="5"/>
  <c r="K7" i="5" s="1"/>
  <c r="AA49" i="1"/>
  <c r="AB49" i="1" s="1"/>
  <c r="S49" i="1" s="1"/>
  <c r="G31" i="5"/>
  <c r="K31" i="5" s="1"/>
  <c r="G68" i="5"/>
  <c r="K68" i="5" s="1"/>
  <c r="G64" i="5"/>
  <c r="K64" i="5" s="1"/>
  <c r="G60" i="5"/>
  <c r="K60" i="5" s="1"/>
  <c r="G58" i="5"/>
  <c r="K58" i="5" s="1"/>
  <c r="G54" i="5"/>
  <c r="K54" i="5" s="1"/>
  <c r="G67" i="5"/>
  <c r="K67" i="5" s="1"/>
  <c r="G63" i="5"/>
  <c r="K63" i="5" s="1"/>
  <c r="E59" i="5"/>
  <c r="D59" i="5" s="1"/>
  <c r="E55" i="5"/>
  <c r="D55" i="5" s="1"/>
  <c r="E51" i="5"/>
  <c r="D51" i="5" s="1"/>
  <c r="E49" i="5"/>
  <c r="D49" i="5" s="1"/>
  <c r="G45" i="5"/>
  <c r="K45" i="5" s="1"/>
  <c r="E39" i="5"/>
  <c r="D39" i="5" s="1"/>
  <c r="G27" i="5"/>
  <c r="K27" i="5" s="1"/>
  <c r="E31" i="5"/>
  <c r="D31" i="5" s="1"/>
  <c r="E27" i="5"/>
  <c r="D27" i="5" s="1"/>
  <c r="AA8" i="1"/>
  <c r="AB8" i="1" s="1"/>
  <c r="S8" i="1" s="1"/>
  <c r="G5" i="1"/>
  <c r="A5" i="1" s="1"/>
  <c r="V5" i="1" s="1"/>
  <c r="AA16" i="1"/>
  <c r="AB16" i="1" s="1"/>
  <c r="S16" i="1" s="1"/>
  <c r="AA9" i="1"/>
  <c r="AB9" i="1" s="1"/>
  <c r="S9" i="1" s="1"/>
  <c r="AA5" i="1"/>
  <c r="AB5" i="1" s="1"/>
  <c r="S5" i="1" s="1"/>
  <c r="AA44" i="1"/>
  <c r="AB44" i="1" s="1"/>
  <c r="S44" i="1" s="1"/>
  <c r="AA43" i="1"/>
  <c r="AB43" i="1" s="1"/>
  <c r="S43" i="1" s="1"/>
  <c r="AA41" i="1"/>
  <c r="AB41" i="1" s="1"/>
  <c r="S41" i="1" s="1"/>
  <c r="AA37" i="1"/>
  <c r="AB37" i="1" s="1"/>
  <c r="S37" i="1" s="1"/>
  <c r="AA42" i="1"/>
  <c r="AB42" i="1" s="1"/>
  <c r="S42" i="1" s="1"/>
  <c r="AA39" i="1"/>
  <c r="AB39" i="1" s="1"/>
  <c r="S39" i="1" s="1"/>
  <c r="AA38" i="1"/>
  <c r="AB38" i="1" s="1"/>
  <c r="S38" i="1" s="1"/>
  <c r="G33" i="1"/>
  <c r="A33" i="1" s="1"/>
  <c r="E19" i="5"/>
  <c r="D19" i="5" s="1"/>
  <c r="G3" i="5"/>
  <c r="K3" i="5" s="1"/>
  <c r="L3" i="5" s="1"/>
  <c r="M3" i="5" s="1"/>
  <c r="AA33" i="1"/>
  <c r="AB33" i="1" s="1"/>
  <c r="S33" i="1" s="1"/>
  <c r="AA32" i="1"/>
  <c r="AB32" i="1" s="1"/>
  <c r="S32" i="1" s="1"/>
  <c r="G23" i="5"/>
  <c r="K23" i="5" s="1"/>
  <c r="J23" i="5" s="1"/>
  <c r="G19" i="5"/>
  <c r="K19" i="5" s="1"/>
  <c r="J19" i="5" s="1"/>
  <c r="AA29" i="1"/>
  <c r="AB29" i="1" s="1"/>
  <c r="S29" i="1" s="1"/>
  <c r="AA26" i="1"/>
  <c r="AB26" i="1" s="1"/>
  <c r="S26" i="1" s="1"/>
  <c r="AA25" i="1"/>
  <c r="AB25" i="1" s="1"/>
  <c r="S25" i="1" s="1"/>
  <c r="AA28" i="1"/>
  <c r="AB28" i="1" s="1"/>
  <c r="S28" i="1" s="1"/>
  <c r="AA24" i="1"/>
  <c r="AB24" i="1" s="1"/>
  <c r="S24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L53" i="5" s="1"/>
  <c r="M53" i="5" s="1"/>
  <c r="E43" i="5"/>
  <c r="D43" i="5" s="1"/>
  <c r="E33" i="5"/>
  <c r="D33" i="5" s="1"/>
  <c r="E25" i="5"/>
  <c r="D25" i="5" s="1"/>
  <c r="Z21" i="1"/>
  <c r="AA21" i="1" s="1"/>
  <c r="AB21" i="1" s="1"/>
  <c r="S21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19" i="1"/>
  <c r="AB19" i="1" s="1"/>
  <c r="S19" i="1" s="1"/>
  <c r="G42" i="5"/>
  <c r="K42" i="5" s="1"/>
  <c r="L42" i="5" s="1"/>
  <c r="M42" i="5" s="1"/>
  <c r="Z17" i="1"/>
  <c r="AA17" i="1" s="1"/>
  <c r="AB17" i="1" s="1"/>
  <c r="S17" i="1" s="1"/>
  <c r="AA13" i="1"/>
  <c r="AB13" i="1" s="1"/>
  <c r="S13" i="1" s="1"/>
  <c r="AA12" i="1"/>
  <c r="AB12" i="1" s="1"/>
  <c r="S12" i="1" s="1"/>
  <c r="AA10" i="1"/>
  <c r="AB10" i="1" s="1"/>
  <c r="S10" i="1" s="1"/>
  <c r="AA6" i="1"/>
  <c r="AB6" i="1" s="1"/>
  <c r="S6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84" i="1"/>
  <c r="Z84" i="1"/>
  <c r="AA162" i="1"/>
  <c r="AB162" i="1" s="1"/>
  <c r="S162" i="1" s="1"/>
  <c r="AA157" i="1"/>
  <c r="AB157" i="1" s="1"/>
  <c r="S157" i="1" s="1"/>
  <c r="Z154" i="1"/>
  <c r="AA154" i="1" s="1"/>
  <c r="AB154" i="1" s="1"/>
  <c r="S154" i="1" s="1"/>
  <c r="Z152" i="1"/>
  <c r="AA152" i="1" s="1"/>
  <c r="AB152" i="1" s="1"/>
  <c r="S152" i="1" s="1"/>
  <c r="AA145" i="1"/>
  <c r="AB145" i="1" s="1"/>
  <c r="S145" i="1" s="1"/>
  <c r="AA129" i="1"/>
  <c r="AB129" i="1" s="1"/>
  <c r="S129" i="1" s="1"/>
  <c r="AA125" i="1"/>
  <c r="AB125" i="1" s="1"/>
  <c r="S125" i="1" s="1"/>
  <c r="AA116" i="1"/>
  <c r="AB116" i="1" s="1"/>
  <c r="S116" i="1" s="1"/>
  <c r="AA96" i="1"/>
  <c r="AB96" i="1" s="1"/>
  <c r="S96" i="1" s="1"/>
  <c r="AA92" i="1"/>
  <c r="AB92" i="1" s="1"/>
  <c r="S92" i="1" s="1"/>
  <c r="AA80" i="1"/>
  <c r="AB80" i="1" s="1"/>
  <c r="S80" i="1" s="1"/>
  <c r="AA77" i="1"/>
  <c r="AB77" i="1" s="1"/>
  <c r="S77" i="1" s="1"/>
  <c r="AA69" i="1"/>
  <c r="AB69" i="1" s="1"/>
  <c r="S69" i="1" s="1"/>
  <c r="AA61" i="1"/>
  <c r="AB61" i="1" s="1"/>
  <c r="S61" i="1" s="1"/>
  <c r="AA52" i="1"/>
  <c r="AB52" i="1" s="1"/>
  <c r="S52" i="1" s="1"/>
  <c r="AA48" i="1"/>
  <c r="AB48" i="1" s="1"/>
  <c r="S48" i="1" s="1"/>
  <c r="AA40" i="1"/>
  <c r="AB40" i="1" s="1"/>
  <c r="S40" i="1" s="1"/>
  <c r="AA15" i="1"/>
  <c r="AB15" i="1" s="1"/>
  <c r="S15" i="1" s="1"/>
  <c r="AA7" i="1"/>
  <c r="AB7" i="1" s="1"/>
  <c r="S7" i="1" s="1"/>
  <c r="AA27" i="1"/>
  <c r="AB27" i="1" s="1"/>
  <c r="S27" i="1" s="1"/>
  <c r="AA20" i="1"/>
  <c r="AB20" i="1" s="1"/>
  <c r="S20" i="1" s="1"/>
  <c r="AA11" i="1"/>
  <c r="AB11" i="1" s="1"/>
  <c r="S11" i="1" s="1"/>
  <c r="Z155" i="1"/>
  <c r="AA155" i="1" s="1"/>
  <c r="AB155" i="1" s="1"/>
  <c r="S155" i="1" s="1"/>
  <c r="AA141" i="1"/>
  <c r="AB141" i="1" s="1"/>
  <c r="S141" i="1" s="1"/>
  <c r="AA133" i="1"/>
  <c r="AB133" i="1" s="1"/>
  <c r="S133" i="1" s="1"/>
  <c r="AA120" i="1"/>
  <c r="AB120" i="1" s="1"/>
  <c r="S120" i="1" s="1"/>
  <c r="AA112" i="1"/>
  <c r="AB112" i="1" s="1"/>
  <c r="S112" i="1" s="1"/>
  <c r="AA108" i="1"/>
  <c r="AB108" i="1" s="1"/>
  <c r="S108" i="1" s="1"/>
  <c r="AA105" i="1"/>
  <c r="AB105" i="1" s="1"/>
  <c r="S105" i="1" s="1"/>
  <c r="AA88" i="1"/>
  <c r="AB88" i="1" s="1"/>
  <c r="S88" i="1" s="1"/>
  <c r="AA72" i="1"/>
  <c r="AB72" i="1" s="1"/>
  <c r="S72" i="1" s="1"/>
  <c r="AA64" i="1"/>
  <c r="AB64" i="1" s="1"/>
  <c r="S64" i="1" s="1"/>
  <c r="AA60" i="1"/>
  <c r="AB60" i="1" s="1"/>
  <c r="S60" i="1" s="1"/>
  <c r="AA56" i="1"/>
  <c r="AB56" i="1" s="1"/>
  <c r="S56" i="1" s="1"/>
  <c r="AA47" i="1"/>
  <c r="AB47" i="1" s="1"/>
  <c r="S47" i="1" s="1"/>
  <c r="AA31" i="1"/>
  <c r="AB31" i="1" s="1"/>
  <c r="S31" i="1" s="1"/>
  <c r="AA14" i="1"/>
  <c r="AB14" i="1" s="1"/>
  <c r="S14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68" i="1"/>
  <c r="AB168" i="1" s="1"/>
  <c r="S168" i="1" s="1"/>
  <c r="AA166" i="1"/>
  <c r="AB166" i="1" s="1"/>
  <c r="S166" i="1" s="1"/>
  <c r="AA167" i="1"/>
  <c r="AB167" i="1" s="1"/>
  <c r="S167" i="1" s="1"/>
  <c r="AA121" i="1"/>
  <c r="AB121" i="1" s="1"/>
  <c r="S121" i="1" s="1"/>
  <c r="G48" i="5"/>
  <c r="K48" i="5" s="1"/>
  <c r="L48" i="5" s="1"/>
  <c r="M48" i="5" s="1"/>
  <c r="E34" i="5"/>
  <c r="D34" i="5" s="1"/>
  <c r="AA163" i="1"/>
  <c r="AB163" i="1" s="1"/>
  <c r="S16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60" i="1"/>
  <c r="AB160" i="1" s="1"/>
  <c r="S16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1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S111" i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68" i="5"/>
  <c r="M68" i="5" s="1"/>
  <c r="J68" i="5"/>
  <c r="L64" i="5"/>
  <c r="M64" i="5" s="1"/>
  <c r="J64" i="5"/>
  <c r="L62" i="5"/>
  <c r="M62" i="5" s="1"/>
  <c r="L60" i="5"/>
  <c r="M60" i="5" s="1"/>
  <c r="J60" i="5"/>
  <c r="L58" i="5"/>
  <c r="M58" i="5" s="1"/>
  <c r="J58" i="5"/>
  <c r="L56" i="5"/>
  <c r="M56" i="5" s="1"/>
  <c r="J56" i="5"/>
  <c r="L54" i="5"/>
  <c r="M54" i="5" s="1"/>
  <c r="J54" i="5"/>
  <c r="L67" i="5"/>
  <c r="M67" i="5" s="1"/>
  <c r="J67" i="5"/>
  <c r="L63" i="5"/>
  <c r="M63" i="5" s="1"/>
  <c r="J63" i="5"/>
  <c r="L61" i="5"/>
  <c r="M61" i="5" s="1"/>
  <c r="J61" i="5"/>
  <c r="L59" i="5"/>
  <c r="M59" i="5" s="1"/>
  <c r="J59" i="5"/>
  <c r="L55" i="5"/>
  <c r="M55" i="5" s="1"/>
  <c r="J55" i="5"/>
  <c r="J53" i="5"/>
  <c r="L51" i="5"/>
  <c r="M51" i="5" s="1"/>
  <c r="J51" i="5"/>
  <c r="L49" i="5"/>
  <c r="M49" i="5" s="1"/>
  <c r="J49" i="5"/>
  <c r="L45" i="5"/>
  <c r="M45" i="5" s="1"/>
  <c r="J45" i="5"/>
  <c r="L39" i="5"/>
  <c r="M39" i="5" s="1"/>
  <c r="J39" i="5"/>
  <c r="L31" i="5"/>
  <c r="M31" i="5" s="1"/>
  <c r="J31" i="5"/>
  <c r="L27" i="5"/>
  <c r="M27" i="5" s="1"/>
  <c r="J27" i="5"/>
  <c r="L23" i="5"/>
  <c r="M23" i="5" s="1"/>
  <c r="L13" i="5"/>
  <c r="M13" i="5" s="1"/>
  <c r="J13" i="5"/>
  <c r="J7" i="5"/>
  <c r="L7" i="5" s="1"/>
  <c r="M7" i="5" s="1"/>
  <c r="J5" i="5"/>
  <c r="L5" i="5" s="1"/>
  <c r="M5" i="5" s="1"/>
  <c r="J3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J42" i="5"/>
  <c r="I2" i="5"/>
  <c r="G2" i="5"/>
  <c r="K2" i="5" s="1"/>
  <c r="E2" i="5"/>
  <c r="D2" i="5" s="1"/>
  <c r="V168" i="1"/>
  <c r="V6" i="1"/>
  <c r="J28" i="5" l="1"/>
  <c r="B12" i="1"/>
  <c r="G12" i="1" s="1"/>
  <c r="A12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84" i="1"/>
  <c r="AB84" i="1" s="1"/>
  <c r="S84" i="1" s="1"/>
  <c r="J12" i="5"/>
  <c r="G11" i="1"/>
  <c r="A11" i="1" s="1"/>
  <c r="B14" i="1"/>
  <c r="G14" i="1" s="1"/>
  <c r="A14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L82" i="5"/>
  <c r="M82" i="5" s="1"/>
  <c r="J82" i="5"/>
  <c r="L74" i="5"/>
  <c r="M74" i="5" s="1"/>
  <c r="J74" i="5"/>
  <c r="L81" i="5"/>
  <c r="M81" i="5" s="1"/>
  <c r="J81" i="5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L80" i="5"/>
  <c r="M80" i="5" s="1"/>
  <c r="J80" i="5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/>
  <c r="M83" i="5" s="1"/>
  <c r="L108" i="5"/>
  <c r="M108" i="5" s="1"/>
  <c r="J108" i="5"/>
  <c r="L100" i="5"/>
  <c r="M100" i="5" s="1"/>
  <c r="J100" i="5"/>
  <c r="L92" i="5"/>
  <c r="M92" i="5" s="1"/>
  <c r="J92" i="5"/>
  <c r="L78" i="5"/>
  <c r="M78" i="5" s="1"/>
  <c r="J78" i="5"/>
  <c r="L70" i="5"/>
  <c r="M70" i="5" s="1"/>
  <c r="J70" i="5"/>
  <c r="L77" i="5"/>
  <c r="M77" i="5" s="1"/>
  <c r="J77" i="5"/>
  <c r="V14" i="1"/>
  <c r="V7" i="1"/>
  <c r="V8" i="1" s="1"/>
  <c r="B15" i="1" l="1"/>
  <c r="G15" i="1" s="1"/>
  <c r="A15" i="1" s="1"/>
  <c r="V15" i="1" s="1"/>
  <c r="B17" i="1"/>
  <c r="B19" i="1" s="1"/>
  <c r="G19" i="1" s="1"/>
  <c r="A19" i="1" s="1"/>
  <c r="V19" i="1" s="1"/>
  <c r="B20" i="1"/>
  <c r="G20" i="1" s="1"/>
  <c r="A20" i="1" s="1"/>
  <c r="V11" i="1"/>
  <c r="V20" i="1"/>
  <c r="V12" i="1"/>
  <c r="V16" i="1"/>
  <c r="V9" i="1"/>
  <c r="V13" i="1"/>
  <c r="B21" i="1" l="1"/>
  <c r="G21" i="1" s="1"/>
  <c r="A21" i="1" s="1"/>
  <c r="V21" i="1" s="1"/>
  <c r="G17" i="1"/>
  <c r="A17" i="1" s="1"/>
  <c r="B22" i="1"/>
  <c r="V10" i="1"/>
  <c r="B23" i="1" l="1"/>
  <c r="G23" i="1" s="1"/>
  <c r="A23" i="1" s="1"/>
  <c r="V23" i="1" s="1"/>
  <c r="G22" i="1"/>
  <c r="A22" i="1" s="1"/>
  <c r="B24" i="1"/>
  <c r="V22" i="1"/>
  <c r="V18" i="1"/>
  <c r="V17" i="1"/>
  <c r="G24" i="1" l="1"/>
  <c r="A24" i="1" s="1"/>
  <c r="B27" i="1"/>
  <c r="G27" i="1" l="1"/>
  <c r="A27" i="1" s="1"/>
  <c r="B29" i="1"/>
  <c r="V24" i="1"/>
  <c r="V25" i="1"/>
  <c r="G29" i="1" l="1"/>
  <c r="A29" i="1" s="1"/>
  <c r="B31" i="1"/>
  <c r="V26" i="1"/>
  <c r="V27" i="1"/>
  <c r="G31" i="1" l="1"/>
  <c r="A31" i="1" s="1"/>
  <c r="B34" i="1"/>
  <c r="B35" i="1" s="1"/>
  <c r="G35" i="1" s="1"/>
  <c r="A35" i="1" s="1"/>
  <c r="V28" i="1"/>
  <c r="V29" i="1"/>
  <c r="G34" i="1" l="1"/>
  <c r="A34" i="1" s="1"/>
  <c r="B37" i="1"/>
  <c r="V31" i="1"/>
  <c r="V32" i="1"/>
  <c r="B38" i="1" l="1"/>
  <c r="G38" i="1" s="1"/>
  <c r="A38" i="1" s="1"/>
  <c r="G37" i="1"/>
  <c r="A37" i="1" s="1"/>
  <c r="V34" i="1"/>
  <c r="V35" i="1"/>
  <c r="V33" i="1"/>
  <c r="B40" i="1" l="1"/>
  <c r="B39" i="1"/>
  <c r="G39" i="1" s="1"/>
  <c r="A39" i="1" s="1"/>
  <c r="G40" i="1"/>
  <c r="A40" i="1" s="1"/>
  <c r="V37" i="1"/>
  <c r="V38" i="1"/>
  <c r="B41" i="1" l="1"/>
  <c r="G41" i="1" s="1"/>
  <c r="A41" i="1" s="1"/>
  <c r="B42" i="1"/>
  <c r="G42" i="1" s="1"/>
  <c r="A42" i="1" s="1"/>
  <c r="B43" i="1"/>
  <c r="G43" i="1" s="1"/>
  <c r="A43" i="1" s="1"/>
  <c r="V39" i="1"/>
  <c r="B44" i="1" l="1"/>
  <c r="B56" i="1"/>
  <c r="V40" i="1"/>
  <c r="G44" i="1" l="1"/>
  <c r="A44" i="1" s="1"/>
  <c r="B45" i="1"/>
  <c r="B46" i="1" s="1"/>
  <c r="G46" i="1" s="1"/>
  <c r="A46" i="1" s="1"/>
  <c r="G56" i="1"/>
  <c r="A56" i="1" s="1"/>
  <c r="B58" i="1"/>
  <c r="V45" i="1"/>
  <c r="V46" i="1"/>
  <c r="V41" i="1"/>
  <c r="G45" i="1" l="1"/>
  <c r="A45" i="1" s="1"/>
  <c r="B47" i="1"/>
  <c r="G47" i="1" s="1"/>
  <c r="A47" i="1" s="1"/>
  <c r="G58" i="1"/>
  <c r="A58" i="1" s="1"/>
  <c r="B60" i="1"/>
  <c r="V56" i="1"/>
  <c r="V47" i="1"/>
  <c r="V42" i="1"/>
  <c r="B48" i="1" l="1"/>
  <c r="G60" i="1"/>
  <c r="A60" i="1" s="1"/>
  <c r="B67" i="1"/>
  <c r="V58" i="1"/>
  <c r="V48" i="1"/>
  <c r="V49" i="1" s="1"/>
  <c r="V43" i="1"/>
  <c r="V44" i="1"/>
  <c r="G48" i="1" l="1"/>
  <c r="A48" i="1" s="1"/>
  <c r="B49" i="1"/>
  <c r="G67" i="1"/>
  <c r="A67" i="1" s="1"/>
  <c r="B69" i="1"/>
  <c r="V60" i="1"/>
  <c r="V50" i="1"/>
  <c r="V51" i="1" s="1"/>
  <c r="V61" i="1"/>
  <c r="G49" i="1" l="1"/>
  <c r="A49" i="1" s="1"/>
  <c r="B50" i="1"/>
  <c r="G69" i="1"/>
  <c r="A69" i="1" s="1"/>
  <c r="B75" i="1"/>
  <c r="V67" i="1"/>
  <c r="V62" i="1"/>
  <c r="V52" i="1"/>
  <c r="V53" i="1"/>
  <c r="G50" i="1" l="1"/>
  <c r="A50" i="1" s="1"/>
  <c r="B51" i="1"/>
  <c r="G51" i="1" s="1"/>
  <c r="A51" i="1" s="1"/>
  <c r="G75" i="1"/>
  <c r="A75" i="1" s="1"/>
  <c r="B77" i="1"/>
  <c r="V69" i="1"/>
  <c r="V70" i="1"/>
  <c r="V54" i="1"/>
  <c r="V63" i="1"/>
  <c r="V64" i="1" s="1"/>
  <c r="G77" i="1" l="1"/>
  <c r="A77" i="1" s="1"/>
  <c r="B80" i="1"/>
  <c r="V75" i="1"/>
  <c r="V71" i="1"/>
  <c r="V65" i="1"/>
  <c r="G80" i="1" l="1"/>
  <c r="A80" i="1" s="1"/>
  <c r="B82" i="1"/>
  <c r="V77" i="1"/>
  <c r="V72" i="1"/>
  <c r="V73" i="1" s="1"/>
  <c r="G82" i="1" l="1"/>
  <c r="A82" i="1" s="1"/>
  <c r="B88" i="1"/>
  <c r="V80" i="1"/>
  <c r="G88" i="1" l="1"/>
  <c r="A88" i="1" s="1"/>
  <c r="B90" i="1"/>
  <c r="V82" i="1"/>
  <c r="V83" i="1"/>
  <c r="G90" i="1" l="1"/>
  <c r="A90" i="1" s="1"/>
  <c r="B101" i="1"/>
  <c r="V88" i="1"/>
  <c r="V84" i="1"/>
  <c r="G101" i="1" l="1"/>
  <c r="A101" i="1" s="1"/>
  <c r="B105" i="1"/>
  <c r="V90" i="1"/>
  <c r="V85" i="1"/>
  <c r="V86" i="1" s="1"/>
  <c r="V91" i="1"/>
  <c r="G105" i="1" l="1"/>
  <c r="A105" i="1" s="1"/>
  <c r="B108" i="1"/>
  <c r="V101" i="1"/>
  <c r="V92" i="1"/>
  <c r="V102" i="1"/>
  <c r="G108" i="1" l="1"/>
  <c r="A108" i="1" s="1"/>
  <c r="B114" i="1"/>
  <c r="V105" i="1"/>
  <c r="V106" i="1"/>
  <c r="V93" i="1"/>
  <c r="V94" i="1" s="1"/>
  <c r="V103" i="1"/>
  <c r="G114" i="1" l="1"/>
  <c r="A114" i="1" s="1"/>
  <c r="B119" i="1"/>
  <c r="V108" i="1"/>
  <c r="V95" i="1"/>
  <c r="V96" i="1" s="1"/>
  <c r="V109" i="1"/>
  <c r="G119" i="1" l="1"/>
  <c r="A119" i="1" s="1"/>
  <c r="B133" i="1"/>
  <c r="V114" i="1"/>
  <c r="V110" i="1"/>
  <c r="V115" i="1"/>
  <c r="V97" i="1"/>
  <c r="V98" i="1"/>
  <c r="G133" i="1" l="1"/>
  <c r="A133" i="1" s="1"/>
  <c r="B135" i="1"/>
  <c r="V119" i="1"/>
  <c r="V120" i="1"/>
  <c r="V116" i="1"/>
  <c r="V99" i="1"/>
  <c r="V111" i="1"/>
  <c r="G135" i="1" l="1"/>
  <c r="A135" i="1" s="1"/>
  <c r="B137" i="1"/>
  <c r="V133" i="1"/>
  <c r="V112" i="1"/>
  <c r="V117" i="1"/>
  <c r="V121" i="1"/>
  <c r="G137" i="1" l="1"/>
  <c r="A137" i="1" s="1"/>
  <c r="B143" i="1"/>
  <c r="V135" i="1"/>
  <c r="V122" i="1"/>
  <c r="V123" i="1" s="1"/>
  <c r="G143" i="1" l="1"/>
  <c r="A143" i="1" s="1"/>
  <c r="B148" i="1"/>
  <c r="V137" i="1"/>
  <c r="V124" i="1"/>
  <c r="V125" i="1" s="1"/>
  <c r="V138" i="1"/>
  <c r="G148" i="1" l="1"/>
  <c r="A148" i="1" s="1"/>
  <c r="B150" i="1"/>
  <c r="V143" i="1"/>
  <c r="V139" i="1"/>
  <c r="V144" i="1"/>
  <c r="V126" i="1"/>
  <c r="V127" i="1"/>
  <c r="G150" i="1" l="1"/>
  <c r="A150" i="1" s="1"/>
  <c r="B152" i="1"/>
  <c r="V148" i="1"/>
  <c r="V145" i="1"/>
  <c r="V128" i="1"/>
  <c r="V129" i="1" s="1"/>
  <c r="V140" i="1"/>
  <c r="G152" i="1" l="1"/>
  <c r="A152" i="1" s="1"/>
  <c r="B157" i="1"/>
  <c r="V150" i="1"/>
  <c r="V141" i="1"/>
  <c r="V130" i="1"/>
  <c r="V146" i="1"/>
  <c r="V131" i="1"/>
  <c r="G157" i="1" l="1"/>
  <c r="A157" i="1" s="1"/>
  <c r="B159" i="1"/>
  <c r="G159" i="1" s="1"/>
  <c r="A159" i="1" s="1"/>
  <c r="V152" i="1"/>
  <c r="V153" i="1"/>
  <c r="A1" i="2" l="1"/>
  <c r="D1" i="4"/>
  <c r="V159" i="1"/>
  <c r="V157" i="1"/>
  <c r="V154" i="1"/>
  <c r="V160" i="1"/>
  <c r="E3" i="2" l="1"/>
  <c r="E41" i="2" s="1"/>
  <c r="E79" i="2" s="1"/>
  <c r="D7" i="2"/>
  <c r="D45" i="2" s="1"/>
  <c r="D83" i="2" s="1"/>
  <c r="E1" i="2"/>
  <c r="D5" i="2"/>
  <c r="D43" i="2" s="1"/>
  <c r="D81" i="2" s="1"/>
  <c r="C47" i="4"/>
  <c r="C19" i="4"/>
  <c r="D19" i="4" s="1"/>
  <c r="C52" i="4"/>
  <c r="C48" i="4"/>
  <c r="C51" i="4"/>
  <c r="C45" i="4"/>
  <c r="C41" i="4"/>
  <c r="C37" i="4"/>
  <c r="C33" i="4"/>
  <c r="C46" i="4"/>
  <c r="C38" i="4"/>
  <c r="C53" i="4"/>
  <c r="C36" i="4"/>
  <c r="C32" i="4"/>
  <c r="C30" i="4"/>
  <c r="C28" i="4"/>
  <c r="C26" i="4"/>
  <c r="C24" i="4"/>
  <c r="C22" i="4"/>
  <c r="C20" i="4"/>
  <c r="D20" i="4" s="1"/>
  <c r="C18" i="4"/>
  <c r="D18" i="4" s="1"/>
  <c r="C15" i="4"/>
  <c r="D15" i="4" s="1"/>
  <c r="C11" i="4"/>
  <c r="D11" i="4" s="1"/>
  <c r="C8" i="4"/>
  <c r="C6" i="4"/>
  <c r="C4" i="4"/>
  <c r="C16" i="4"/>
  <c r="D16" i="4" s="1"/>
  <c r="C12" i="4"/>
  <c r="D12" i="4" s="1"/>
  <c r="C54" i="4"/>
  <c r="C50" i="4"/>
  <c r="C55" i="4"/>
  <c r="C43" i="4"/>
  <c r="C39" i="4"/>
  <c r="C35" i="4"/>
  <c r="C49" i="4"/>
  <c r="C42" i="4"/>
  <c r="C34" i="4"/>
  <c r="C44" i="4"/>
  <c r="C40" i="4"/>
  <c r="C31" i="4"/>
  <c r="C29" i="4"/>
  <c r="C27" i="4"/>
  <c r="C25" i="4"/>
  <c r="C23" i="4"/>
  <c r="C21" i="4"/>
  <c r="D21" i="4" s="1"/>
  <c r="C17" i="4"/>
  <c r="D17" i="4" s="1"/>
  <c r="C13" i="4"/>
  <c r="D13" i="4" s="1"/>
  <c r="C9" i="4"/>
  <c r="C7" i="4"/>
  <c r="C5" i="4"/>
  <c r="C3" i="4"/>
  <c r="C14" i="4"/>
  <c r="D14" i="4" s="1"/>
  <c r="C10" i="4"/>
  <c r="V155" i="1"/>
  <c r="W8" i="1" s="1"/>
  <c r="W35" i="1" l="1"/>
  <c r="AC35" i="1"/>
  <c r="W39" i="1"/>
  <c r="W41" i="1"/>
  <c r="W44" i="1"/>
  <c r="AC32" i="1"/>
  <c r="AC33" i="1"/>
  <c r="AC50" i="1"/>
  <c r="AC44" i="1"/>
  <c r="AC39" i="1"/>
  <c r="AC48" i="1"/>
  <c r="AC41" i="1"/>
  <c r="AC51" i="1"/>
  <c r="AC49" i="1"/>
  <c r="AC47" i="1"/>
  <c r="AC46" i="1"/>
  <c r="AC38" i="1"/>
  <c r="AC43" i="1"/>
  <c r="W33" i="1"/>
  <c r="W26" i="1"/>
  <c r="W28" i="1"/>
  <c r="W23" i="1"/>
  <c r="AC23" i="1"/>
  <c r="W21" i="1"/>
  <c r="AC21" i="1"/>
  <c r="W19" i="1"/>
  <c r="AC19" i="1"/>
  <c r="W16" i="1"/>
  <c r="AC15" i="1"/>
  <c r="W13" i="1"/>
  <c r="AC12" i="1"/>
  <c r="W10" i="1"/>
  <c r="W165" i="1"/>
  <c r="W167" i="1"/>
  <c r="W163" i="1"/>
  <c r="AC162" i="1"/>
  <c r="W152" i="1"/>
  <c r="AC143" i="1"/>
  <c r="W148" i="1"/>
  <c r="AC159" i="1"/>
  <c r="AC135" i="1"/>
  <c r="W146" i="1"/>
  <c r="W135" i="1"/>
  <c r="W159" i="1"/>
  <c r="AC22" i="1"/>
  <c r="W15" i="1"/>
  <c r="W12" i="1"/>
  <c r="W7" i="1"/>
  <c r="AC14" i="1"/>
  <c r="AC27" i="1"/>
  <c r="W14" i="1"/>
  <c r="AC20" i="1"/>
  <c r="W27" i="1"/>
  <c r="AC11" i="1"/>
  <c r="AC17" i="1"/>
  <c r="W5" i="1"/>
  <c r="AC29" i="1"/>
  <c r="W29" i="1"/>
  <c r="AC31" i="1"/>
  <c r="W34" i="1"/>
  <c r="AC42" i="1"/>
  <c r="W40" i="1"/>
  <c r="W38" i="1"/>
  <c r="W43" i="1"/>
  <c r="W53" i="1"/>
  <c r="W42" i="1"/>
  <c r="AC60" i="1"/>
  <c r="W51" i="1"/>
  <c r="W52" i="1"/>
  <c r="W48" i="1"/>
  <c r="W46" i="1"/>
  <c r="W58" i="1"/>
  <c r="W67" i="1"/>
  <c r="W62" i="1"/>
  <c r="W65" i="1"/>
  <c r="AC58" i="1"/>
  <c r="W60" i="1"/>
  <c r="W72" i="1"/>
  <c r="W73" i="1"/>
  <c r="W71" i="1"/>
  <c r="W77" i="1"/>
  <c r="W86" i="1"/>
  <c r="AC82" i="1"/>
  <c r="W83" i="1"/>
  <c r="W80" i="1"/>
  <c r="W82" i="1"/>
  <c r="AC90" i="1"/>
  <c r="W93" i="1"/>
  <c r="W97" i="1"/>
  <c r="W90" i="1"/>
  <c r="W96" i="1"/>
  <c r="W92" i="1"/>
  <c r="AC101" i="1"/>
  <c r="W101" i="1"/>
  <c r="AC108" i="1"/>
  <c r="W105" i="1"/>
  <c r="W112" i="1"/>
  <c r="W111" i="1"/>
  <c r="AC114" i="1"/>
  <c r="W115" i="1"/>
  <c r="W122" i="1"/>
  <c r="W130" i="1"/>
  <c r="W124" i="1"/>
  <c r="AC119" i="1"/>
  <c r="W114" i="1"/>
  <c r="W131" i="1"/>
  <c r="W129" i="1"/>
  <c r="W123" i="1"/>
  <c r="W127" i="1"/>
  <c r="AC152" i="1"/>
  <c r="W150" i="1"/>
  <c r="W139" i="1"/>
  <c r="W141" i="1"/>
  <c r="W155" i="1"/>
  <c r="AC133" i="1"/>
  <c r="W128" i="1"/>
  <c r="W168" i="1"/>
  <c r="W166" i="1"/>
  <c r="AC165" i="1"/>
  <c r="W162" i="1"/>
  <c r="W160" i="1"/>
  <c r="W138" i="1"/>
  <c r="W143" i="1"/>
  <c r="W144" i="1"/>
  <c r="AC157" i="1"/>
  <c r="W137" i="1"/>
  <c r="AC150" i="1"/>
  <c r="W157" i="1"/>
  <c r="W18" i="1"/>
  <c r="W9" i="1"/>
  <c r="AC5" i="1"/>
  <c r="W11" i="1"/>
  <c r="AC24" i="1"/>
  <c r="W17" i="1"/>
  <c r="W6" i="1"/>
  <c r="W22" i="1"/>
  <c r="W3" i="1"/>
  <c r="AC9" i="1"/>
  <c r="AC3" i="1"/>
  <c r="W20" i="1"/>
  <c r="W25" i="1"/>
  <c r="W24" i="1"/>
  <c r="W31" i="1"/>
  <c r="W32" i="1"/>
  <c r="AC37" i="1"/>
  <c r="AC34" i="1"/>
  <c r="W37" i="1"/>
  <c r="AC40" i="1"/>
  <c r="W45" i="1"/>
  <c r="AC45" i="1"/>
  <c r="W47" i="1"/>
  <c r="W56" i="1"/>
  <c r="AC56" i="1"/>
  <c r="W54" i="1"/>
  <c r="W50" i="1"/>
  <c r="W49" i="1"/>
  <c r="W63" i="1"/>
  <c r="W61" i="1"/>
  <c r="W64" i="1"/>
  <c r="AC67" i="1"/>
  <c r="AC75" i="1"/>
  <c r="AC69" i="1"/>
  <c r="W75" i="1"/>
  <c r="W69" i="1"/>
  <c r="W70" i="1"/>
  <c r="AC77" i="1"/>
  <c r="W88" i="1"/>
  <c r="W84" i="1"/>
  <c r="W85" i="1"/>
  <c r="AC80" i="1"/>
  <c r="AC88" i="1"/>
  <c r="W99" i="1"/>
  <c r="W91" i="1"/>
  <c r="W95" i="1"/>
  <c r="W98" i="1"/>
  <c r="W102" i="1"/>
  <c r="W94" i="1"/>
  <c r="W103" i="1"/>
  <c r="AC105" i="1"/>
  <c r="W106" i="1"/>
  <c r="W108" i="1"/>
  <c r="W116" i="1"/>
  <c r="W109" i="1"/>
  <c r="W110" i="1"/>
  <c r="W117" i="1"/>
  <c r="W120" i="1"/>
  <c r="W133" i="1"/>
  <c r="W121" i="1"/>
  <c r="AC137" i="1"/>
  <c r="W154" i="1"/>
  <c r="AC148" i="1"/>
  <c r="W153" i="1"/>
  <c r="W126" i="1"/>
  <c r="W125" i="1"/>
  <c r="W119" i="1"/>
  <c r="W140" i="1"/>
  <c r="W145" i="1"/>
  <c r="F14" i="4"/>
  <c r="P14" i="4" s="1"/>
  <c r="N14" i="4"/>
  <c r="G14" i="4"/>
  <c r="M14" i="4"/>
  <c r="E14" i="4"/>
  <c r="H14" i="4"/>
  <c r="J14" i="4"/>
  <c r="L14" i="4" s="1"/>
  <c r="I14" i="4"/>
  <c r="F5" i="4"/>
  <c r="P5" i="4" s="1"/>
  <c r="G5" i="4"/>
  <c r="E5" i="4"/>
  <c r="D5" i="4"/>
  <c r="M5" i="4"/>
  <c r="N5" i="4"/>
  <c r="H5" i="4"/>
  <c r="I5" i="4"/>
  <c r="J5" i="4"/>
  <c r="L5" i="4" s="1"/>
  <c r="F9" i="4"/>
  <c r="P9" i="4" s="1"/>
  <c r="N9" i="4"/>
  <c r="G9" i="4"/>
  <c r="M9" i="4"/>
  <c r="E9" i="4"/>
  <c r="D9" i="4"/>
  <c r="J9" i="4"/>
  <c r="L9" i="4" s="1"/>
  <c r="H9" i="4"/>
  <c r="I9" i="4"/>
  <c r="F17" i="4"/>
  <c r="P17" i="4" s="1"/>
  <c r="N17" i="4"/>
  <c r="G17" i="4"/>
  <c r="E17" i="4"/>
  <c r="M17" i="4"/>
  <c r="J17" i="4"/>
  <c r="L17" i="4" s="1"/>
  <c r="H17" i="4"/>
  <c r="I17" i="4"/>
  <c r="F23" i="4"/>
  <c r="P23" i="4" s="1"/>
  <c r="N23" i="4"/>
  <c r="G23" i="4"/>
  <c r="M23" i="4"/>
  <c r="E23" i="4"/>
  <c r="R23" i="4" s="1"/>
  <c r="D23" i="4"/>
  <c r="H23" i="4"/>
  <c r="I23" i="4"/>
  <c r="J23" i="4"/>
  <c r="L23" i="4" s="1"/>
  <c r="F27" i="4"/>
  <c r="P27" i="4" s="1"/>
  <c r="N27" i="4"/>
  <c r="G27" i="4"/>
  <c r="M27" i="4"/>
  <c r="D27" i="4"/>
  <c r="E27" i="4"/>
  <c r="I27" i="4"/>
  <c r="J27" i="4"/>
  <c r="L27" i="4" s="1"/>
  <c r="H27" i="4"/>
  <c r="M31" i="4"/>
  <c r="D31" i="4"/>
  <c r="E31" i="4"/>
  <c r="N31" i="4"/>
  <c r="F31" i="4"/>
  <c r="P31" i="4" s="1"/>
  <c r="U31" i="4" s="1"/>
  <c r="G31" i="4"/>
  <c r="J31" i="4"/>
  <c r="L31" i="4" s="1"/>
  <c r="I31" i="4"/>
  <c r="H31" i="4"/>
  <c r="N44" i="4"/>
  <c r="D44" i="4"/>
  <c r="E44" i="4"/>
  <c r="F44" i="4"/>
  <c r="P44" i="4" s="1"/>
  <c r="G44" i="4"/>
  <c r="M44" i="4"/>
  <c r="I44" i="4"/>
  <c r="H44" i="4"/>
  <c r="J44" i="4"/>
  <c r="L44" i="4" s="1"/>
  <c r="N42" i="4"/>
  <c r="D42" i="4"/>
  <c r="M42" i="4"/>
  <c r="F42" i="4"/>
  <c r="P42" i="4" s="1"/>
  <c r="E42" i="4"/>
  <c r="G42" i="4"/>
  <c r="I42" i="4"/>
  <c r="J42" i="4"/>
  <c r="L42" i="4" s="1"/>
  <c r="H42" i="4"/>
  <c r="M35" i="4"/>
  <c r="E35" i="4"/>
  <c r="F35" i="4"/>
  <c r="P35" i="4" s="1"/>
  <c r="U35" i="4" s="1"/>
  <c r="G35" i="4"/>
  <c r="D35" i="4"/>
  <c r="N35" i="4"/>
  <c r="H35" i="4"/>
  <c r="I35" i="4"/>
  <c r="J35" i="4"/>
  <c r="L35" i="4" s="1"/>
  <c r="M43" i="4"/>
  <c r="E43" i="4"/>
  <c r="F43" i="4"/>
  <c r="P43" i="4" s="1"/>
  <c r="U43" i="4" s="1"/>
  <c r="G43" i="4"/>
  <c r="N43" i="4"/>
  <c r="D43" i="4"/>
  <c r="J43" i="4"/>
  <c r="L43" i="4" s="1"/>
  <c r="I43" i="4"/>
  <c r="H43" i="4"/>
  <c r="M50" i="4"/>
  <c r="I50" i="4"/>
  <c r="E50" i="4"/>
  <c r="D50" i="4"/>
  <c r="F50" i="4"/>
  <c r="P50" i="4" s="1"/>
  <c r="U50" i="4" s="1"/>
  <c r="G50" i="4"/>
  <c r="H50" i="4"/>
  <c r="N50" i="4"/>
  <c r="K50" i="4"/>
  <c r="J50" i="4"/>
  <c r="L50" i="4" s="1"/>
  <c r="F12" i="4"/>
  <c r="P12" i="4" s="1"/>
  <c r="N12" i="4"/>
  <c r="G12" i="4"/>
  <c r="M12" i="4"/>
  <c r="E12" i="4"/>
  <c r="I12" i="4"/>
  <c r="H12" i="4"/>
  <c r="J12" i="4"/>
  <c r="L12" i="4" s="1"/>
  <c r="F4" i="4"/>
  <c r="P4" i="4" s="1"/>
  <c r="G4" i="4"/>
  <c r="E4" i="4"/>
  <c r="M4" i="4"/>
  <c r="D4" i="4"/>
  <c r="N4" i="4"/>
  <c r="J4" i="4"/>
  <c r="L4" i="4" s="1"/>
  <c r="H4" i="4"/>
  <c r="I4" i="4"/>
  <c r="F8" i="4"/>
  <c r="P8" i="4" s="1"/>
  <c r="N8" i="4"/>
  <c r="E8" i="4"/>
  <c r="M8" i="4"/>
  <c r="D8" i="4"/>
  <c r="G8" i="4"/>
  <c r="H8" i="4"/>
  <c r="J8" i="4"/>
  <c r="L8" i="4" s="1"/>
  <c r="I8" i="4"/>
  <c r="F15" i="4"/>
  <c r="P15" i="4" s="1"/>
  <c r="N15" i="4"/>
  <c r="G15" i="4"/>
  <c r="E15" i="4"/>
  <c r="M15" i="4"/>
  <c r="I15" i="4"/>
  <c r="J15" i="4"/>
  <c r="L15" i="4" s="1"/>
  <c r="H15" i="4"/>
  <c r="F20" i="4"/>
  <c r="P20" i="4" s="1"/>
  <c r="N20" i="4"/>
  <c r="G20" i="4"/>
  <c r="M20" i="4"/>
  <c r="E20" i="4"/>
  <c r="J20" i="4"/>
  <c r="L20" i="4" s="1"/>
  <c r="I20" i="4"/>
  <c r="H20" i="4"/>
  <c r="F24" i="4"/>
  <c r="P24" i="4" s="1"/>
  <c r="N24" i="4"/>
  <c r="G24" i="4"/>
  <c r="M24" i="4"/>
  <c r="E24" i="4"/>
  <c r="D24" i="4"/>
  <c r="I24" i="4"/>
  <c r="J24" i="4"/>
  <c r="L24" i="4" s="1"/>
  <c r="H24" i="4"/>
  <c r="M28" i="4"/>
  <c r="D28" i="4"/>
  <c r="E28" i="4"/>
  <c r="N28" i="4"/>
  <c r="G28" i="4"/>
  <c r="F28" i="4"/>
  <c r="P28" i="4" s="1"/>
  <c r="I28" i="4"/>
  <c r="J28" i="4"/>
  <c r="L28" i="4" s="1"/>
  <c r="H28" i="4"/>
  <c r="N32" i="4"/>
  <c r="D32" i="4"/>
  <c r="E32" i="4"/>
  <c r="F32" i="4"/>
  <c r="P32" i="4" s="1"/>
  <c r="G32" i="4"/>
  <c r="M32" i="4"/>
  <c r="I32" i="4"/>
  <c r="J32" i="4"/>
  <c r="L32" i="4" s="1"/>
  <c r="H32" i="4"/>
  <c r="N53" i="4"/>
  <c r="H53" i="4"/>
  <c r="D53" i="4"/>
  <c r="I53" i="4"/>
  <c r="G53" i="4"/>
  <c r="J53" i="4"/>
  <c r="L53" i="4" s="1"/>
  <c r="F53" i="4"/>
  <c r="P53" i="4" s="1"/>
  <c r="E53" i="4"/>
  <c r="K53" i="4"/>
  <c r="M53" i="4"/>
  <c r="N46" i="4"/>
  <c r="H46" i="4"/>
  <c r="D46" i="4"/>
  <c r="G46" i="4"/>
  <c r="M46" i="4"/>
  <c r="J46" i="4"/>
  <c r="L46" i="4" s="1"/>
  <c r="I46" i="4"/>
  <c r="F46" i="4"/>
  <c r="P46" i="4" s="1"/>
  <c r="E46" i="4"/>
  <c r="M37" i="4"/>
  <c r="E37" i="4"/>
  <c r="N37" i="4"/>
  <c r="G37" i="4"/>
  <c r="F37" i="4"/>
  <c r="P37" i="4" s="1"/>
  <c r="U37" i="4" s="1"/>
  <c r="D37" i="4"/>
  <c r="J37" i="4"/>
  <c r="L37" i="4" s="1"/>
  <c r="H37" i="4"/>
  <c r="I37" i="4"/>
  <c r="M45" i="4"/>
  <c r="I45" i="4"/>
  <c r="E45" i="4"/>
  <c r="D45" i="4"/>
  <c r="N45" i="4"/>
  <c r="H45" i="4"/>
  <c r="J45" i="4"/>
  <c r="L45" i="4" s="1"/>
  <c r="G45" i="4"/>
  <c r="F45" i="4"/>
  <c r="P45" i="4" s="1"/>
  <c r="U45" i="4" s="1"/>
  <c r="M48" i="4"/>
  <c r="I48" i="4"/>
  <c r="E48" i="4"/>
  <c r="J48" i="4"/>
  <c r="L48" i="4" s="1"/>
  <c r="D48" i="4"/>
  <c r="K48" i="4"/>
  <c r="N48" i="4"/>
  <c r="H48" i="4"/>
  <c r="G48" i="4"/>
  <c r="F48" i="4"/>
  <c r="P48" i="4" s="1"/>
  <c r="F19" i="4"/>
  <c r="P19" i="4" s="1"/>
  <c r="N19" i="4"/>
  <c r="G19" i="4"/>
  <c r="M19" i="4"/>
  <c r="E19" i="4"/>
  <c r="I19" i="4"/>
  <c r="J19" i="4"/>
  <c r="L19" i="4" s="1"/>
  <c r="H19" i="4"/>
  <c r="F10" i="4"/>
  <c r="P10" i="4" s="1"/>
  <c r="N10" i="4"/>
  <c r="G10" i="4"/>
  <c r="M10" i="4"/>
  <c r="D10" i="4"/>
  <c r="E10" i="4"/>
  <c r="J10" i="4"/>
  <c r="L10" i="4" s="1"/>
  <c r="I10" i="4"/>
  <c r="H10" i="4"/>
  <c r="F3" i="4"/>
  <c r="P3" i="4" s="1"/>
  <c r="G3" i="4"/>
  <c r="E3" i="4"/>
  <c r="M3" i="4"/>
  <c r="D3" i="4"/>
  <c r="N3" i="4"/>
  <c r="H3" i="4"/>
  <c r="J3" i="4"/>
  <c r="K3" i="4" s="1"/>
  <c r="I3" i="4"/>
  <c r="F7" i="4"/>
  <c r="P7" i="4" s="1"/>
  <c r="G7" i="4"/>
  <c r="E7" i="4"/>
  <c r="D7" i="4"/>
  <c r="M7" i="4"/>
  <c r="N7" i="4"/>
  <c r="H7" i="4"/>
  <c r="I7" i="4"/>
  <c r="J7" i="4"/>
  <c r="L7" i="4" s="1"/>
  <c r="F13" i="4"/>
  <c r="P13" i="4" s="1"/>
  <c r="N13" i="4"/>
  <c r="G13" i="4"/>
  <c r="E13" i="4"/>
  <c r="M13" i="4"/>
  <c r="I13" i="4"/>
  <c r="J13" i="4"/>
  <c r="L13" i="4" s="1"/>
  <c r="H13" i="4"/>
  <c r="F21" i="4"/>
  <c r="P21" i="4" s="1"/>
  <c r="N21" i="4"/>
  <c r="G21" i="4"/>
  <c r="M21" i="4"/>
  <c r="E21" i="4"/>
  <c r="I21" i="4"/>
  <c r="J21" i="4"/>
  <c r="L21" i="4" s="1"/>
  <c r="H21" i="4"/>
  <c r="F25" i="4"/>
  <c r="P25" i="4" s="1"/>
  <c r="N25" i="4"/>
  <c r="G25" i="4"/>
  <c r="M25" i="4"/>
  <c r="D25" i="4"/>
  <c r="E25" i="4"/>
  <c r="I25" i="4"/>
  <c r="J25" i="4"/>
  <c r="L25" i="4" s="1"/>
  <c r="H25" i="4"/>
  <c r="M29" i="4"/>
  <c r="D29" i="4"/>
  <c r="E29" i="4"/>
  <c r="N29" i="4"/>
  <c r="G29" i="4"/>
  <c r="F29" i="4"/>
  <c r="P29" i="4" s="1"/>
  <c r="H29" i="4"/>
  <c r="I29" i="4"/>
  <c r="J29" i="4"/>
  <c r="L29" i="4" s="1"/>
  <c r="N40" i="4"/>
  <c r="D40" i="4"/>
  <c r="E40" i="4"/>
  <c r="M40" i="4"/>
  <c r="G40" i="4"/>
  <c r="F40" i="4"/>
  <c r="P40" i="4" s="1"/>
  <c r="U40" i="4" s="1"/>
  <c r="J40" i="4"/>
  <c r="L40" i="4" s="1"/>
  <c r="H40" i="4"/>
  <c r="I40" i="4"/>
  <c r="N34" i="4"/>
  <c r="D34" i="4"/>
  <c r="M34" i="4"/>
  <c r="G34" i="4"/>
  <c r="F34" i="4"/>
  <c r="P34" i="4" s="1"/>
  <c r="U34" i="4" s="1"/>
  <c r="E34" i="4"/>
  <c r="I34" i="4"/>
  <c r="H34" i="4"/>
  <c r="J34" i="4"/>
  <c r="L34" i="4" s="1"/>
  <c r="N49" i="4"/>
  <c r="H49" i="4"/>
  <c r="D49" i="4"/>
  <c r="I49" i="4"/>
  <c r="K49" i="4"/>
  <c r="J49" i="4"/>
  <c r="L49" i="4" s="1"/>
  <c r="M49" i="4"/>
  <c r="E49" i="4"/>
  <c r="F49" i="4"/>
  <c r="P49" i="4" s="1"/>
  <c r="U49" i="4" s="1"/>
  <c r="G49" i="4"/>
  <c r="M39" i="4"/>
  <c r="E39" i="4"/>
  <c r="F39" i="4"/>
  <c r="P39" i="4" s="1"/>
  <c r="U39" i="4" s="1"/>
  <c r="G39" i="4"/>
  <c r="D39" i="4"/>
  <c r="N39" i="4"/>
  <c r="H39" i="4"/>
  <c r="I39" i="4"/>
  <c r="J39" i="4"/>
  <c r="L39" i="4" s="1"/>
  <c r="N55" i="4"/>
  <c r="H55" i="4"/>
  <c r="D55" i="4"/>
  <c r="G55" i="4"/>
  <c r="E55" i="4"/>
  <c r="J55" i="4"/>
  <c r="L55" i="4" s="1"/>
  <c r="F55" i="4"/>
  <c r="P55" i="4" s="1"/>
  <c r="M55" i="4"/>
  <c r="I55" i="4"/>
  <c r="K55" i="4"/>
  <c r="M54" i="4"/>
  <c r="I54" i="4"/>
  <c r="E54" i="4"/>
  <c r="D54" i="4"/>
  <c r="F54" i="4"/>
  <c r="P54" i="4" s="1"/>
  <c r="U54" i="4" s="1"/>
  <c r="K54" i="4"/>
  <c r="H54" i="4"/>
  <c r="J54" i="4"/>
  <c r="L54" i="4" s="1"/>
  <c r="G54" i="4"/>
  <c r="N54" i="4"/>
  <c r="F16" i="4"/>
  <c r="P16" i="4" s="1"/>
  <c r="N16" i="4"/>
  <c r="G16" i="4"/>
  <c r="M16" i="4"/>
  <c r="E16" i="4"/>
  <c r="J16" i="4"/>
  <c r="L16" i="4" s="1"/>
  <c r="I16" i="4"/>
  <c r="H16" i="4"/>
  <c r="F6" i="4"/>
  <c r="P6" i="4" s="1"/>
  <c r="G6" i="4"/>
  <c r="E6" i="4"/>
  <c r="N6" i="4"/>
  <c r="M6" i="4"/>
  <c r="D6" i="4"/>
  <c r="J6" i="4"/>
  <c r="L6" i="4" s="1"/>
  <c r="H6" i="4"/>
  <c r="I6" i="4"/>
  <c r="F11" i="4"/>
  <c r="P11" i="4" s="1"/>
  <c r="N11" i="4"/>
  <c r="G11" i="4"/>
  <c r="E11" i="4"/>
  <c r="M11" i="4"/>
  <c r="H11" i="4"/>
  <c r="I11" i="4"/>
  <c r="J11" i="4"/>
  <c r="L11" i="4" s="1"/>
  <c r="F18" i="4"/>
  <c r="P18" i="4" s="1"/>
  <c r="N18" i="4"/>
  <c r="G18" i="4"/>
  <c r="M18" i="4"/>
  <c r="E18" i="4"/>
  <c r="I18" i="4"/>
  <c r="J18" i="4"/>
  <c r="L18" i="4" s="1"/>
  <c r="H18" i="4"/>
  <c r="F22" i="4"/>
  <c r="P22" i="4" s="1"/>
  <c r="N22" i="4"/>
  <c r="G22" i="4"/>
  <c r="M22" i="4"/>
  <c r="D22" i="4"/>
  <c r="E22" i="4"/>
  <c r="J22" i="4"/>
  <c r="L22" i="4" s="1"/>
  <c r="I22" i="4"/>
  <c r="H22" i="4"/>
  <c r="F26" i="4"/>
  <c r="P26" i="4" s="1"/>
  <c r="N26" i="4"/>
  <c r="G26" i="4"/>
  <c r="M26" i="4"/>
  <c r="D26" i="4"/>
  <c r="E26" i="4"/>
  <c r="J26" i="4"/>
  <c r="L26" i="4" s="1"/>
  <c r="H26" i="4"/>
  <c r="I26" i="4"/>
  <c r="M30" i="4"/>
  <c r="D30" i="4"/>
  <c r="E30" i="4"/>
  <c r="N30" i="4"/>
  <c r="G30" i="4"/>
  <c r="F30" i="4"/>
  <c r="P30" i="4" s="1"/>
  <c r="H30" i="4"/>
  <c r="I30" i="4"/>
  <c r="J30" i="4"/>
  <c r="L30" i="4" s="1"/>
  <c r="N36" i="4"/>
  <c r="D36" i="4"/>
  <c r="E36" i="4"/>
  <c r="F36" i="4"/>
  <c r="P36" i="4" s="1"/>
  <c r="G36" i="4"/>
  <c r="M36" i="4"/>
  <c r="J36" i="4"/>
  <c r="L36" i="4" s="1"/>
  <c r="H36" i="4"/>
  <c r="I36" i="4"/>
  <c r="N38" i="4"/>
  <c r="D38" i="4"/>
  <c r="M38" i="4"/>
  <c r="F38" i="4"/>
  <c r="P38" i="4" s="1"/>
  <c r="E38" i="4"/>
  <c r="G38" i="4"/>
  <c r="J38" i="4"/>
  <c r="L38" i="4" s="1"/>
  <c r="H38" i="4"/>
  <c r="I38" i="4"/>
  <c r="M33" i="4"/>
  <c r="E33" i="4"/>
  <c r="N33" i="4"/>
  <c r="G33" i="4"/>
  <c r="F33" i="4"/>
  <c r="P33" i="4" s="1"/>
  <c r="U33" i="4" s="1"/>
  <c r="D33" i="4"/>
  <c r="H33" i="4"/>
  <c r="I33" i="4"/>
  <c r="J33" i="4"/>
  <c r="L33" i="4" s="1"/>
  <c r="M41" i="4"/>
  <c r="E41" i="4"/>
  <c r="N41" i="4"/>
  <c r="G41" i="4"/>
  <c r="D41" i="4"/>
  <c r="F41" i="4"/>
  <c r="P41" i="4" s="1"/>
  <c r="H41" i="4"/>
  <c r="J41" i="4"/>
  <c r="L41" i="4" s="1"/>
  <c r="I41" i="4"/>
  <c r="N51" i="4"/>
  <c r="H51" i="4"/>
  <c r="D51" i="4"/>
  <c r="G51" i="4"/>
  <c r="E51" i="4"/>
  <c r="F51" i="4"/>
  <c r="P51" i="4" s="1"/>
  <c r="K51" i="4"/>
  <c r="I51" i="4"/>
  <c r="J51" i="4"/>
  <c r="L51" i="4" s="1"/>
  <c r="M51" i="4"/>
  <c r="M52" i="4"/>
  <c r="I52" i="4"/>
  <c r="E52" i="4"/>
  <c r="J52" i="4"/>
  <c r="L52" i="4" s="1"/>
  <c r="H52" i="4"/>
  <c r="G52" i="4"/>
  <c r="F52" i="4"/>
  <c r="P52" i="4" s="1"/>
  <c r="K52" i="4"/>
  <c r="N52" i="4"/>
  <c r="D52" i="4"/>
  <c r="N47" i="4"/>
  <c r="H47" i="4"/>
  <c r="G47" i="4"/>
  <c r="M47" i="4"/>
  <c r="I47" i="4"/>
  <c r="J47" i="4"/>
  <c r="L47" i="4" s="1"/>
  <c r="E47" i="4"/>
  <c r="F47" i="4"/>
  <c r="P47" i="4" s="1"/>
  <c r="U47" i="4" s="1"/>
  <c r="D47" i="4"/>
  <c r="K47" i="4"/>
  <c r="H3" i="2"/>
  <c r="H41" i="2" s="1"/>
  <c r="H79" i="2" s="1"/>
  <c r="H6" i="2"/>
  <c r="H44" i="2" s="1"/>
  <c r="H82" i="2" s="1"/>
  <c r="H5" i="2"/>
  <c r="H43" i="2" s="1"/>
  <c r="H81" i="2" s="1"/>
  <c r="K14" i="4" l="1"/>
  <c r="U41" i="4"/>
  <c r="U38" i="4"/>
  <c r="U30" i="4"/>
  <c r="U26" i="4"/>
  <c r="U16" i="4"/>
  <c r="U55" i="4"/>
  <c r="U19" i="4"/>
  <c r="U46" i="4"/>
  <c r="U28" i="4"/>
  <c r="U24" i="4"/>
  <c r="U20" i="4"/>
  <c r="U4" i="4"/>
  <c r="U12" i="4"/>
  <c r="U42" i="4"/>
  <c r="U27" i="4"/>
  <c r="U9" i="4"/>
  <c r="U14" i="4"/>
  <c r="U52" i="4"/>
  <c r="J38" i="2"/>
  <c r="U6" i="4"/>
  <c r="U7" i="4"/>
  <c r="U10" i="4"/>
  <c r="U15" i="4"/>
  <c r="U51" i="4"/>
  <c r="U36" i="4"/>
  <c r="U22" i="4"/>
  <c r="U18" i="4"/>
  <c r="U11" i="4"/>
  <c r="U29" i="4"/>
  <c r="U25" i="4"/>
  <c r="U21" i="4"/>
  <c r="U13" i="4"/>
  <c r="U3" i="4"/>
  <c r="U48" i="4"/>
  <c r="U53" i="4"/>
  <c r="U32" i="4"/>
  <c r="U8" i="4"/>
  <c r="U44" i="4"/>
  <c r="U23" i="4"/>
  <c r="U17" i="4"/>
  <c r="U5" i="4"/>
  <c r="R20" i="4"/>
  <c r="R17" i="4"/>
  <c r="R15" i="4"/>
  <c r="R11" i="4"/>
  <c r="R9" i="4"/>
  <c r="R8" i="4"/>
  <c r="R7" i="4"/>
  <c r="R14" i="4"/>
  <c r="R13" i="4"/>
  <c r="R21" i="4"/>
  <c r="R10" i="4"/>
  <c r="R48" i="4"/>
  <c r="R53" i="4"/>
  <c r="R32" i="4"/>
  <c r="R12" i="4"/>
  <c r="R35" i="4"/>
  <c r="R42" i="4"/>
  <c r="R27" i="4"/>
  <c r="R5" i="4"/>
  <c r="R24" i="4"/>
  <c r="R4" i="4"/>
  <c r="G1" i="2"/>
  <c r="B12" i="2" s="1"/>
  <c r="B50" i="2" s="1"/>
  <c r="B88" i="2" s="1"/>
  <c r="R3" i="4"/>
  <c r="R19" i="4"/>
  <c r="R33" i="4"/>
  <c r="R38" i="4"/>
  <c r="R30" i="4"/>
  <c r="R26" i="4"/>
  <c r="R18" i="4"/>
  <c r="R39" i="4"/>
  <c r="R49" i="4"/>
  <c r="R29" i="4"/>
  <c r="R25" i="4"/>
  <c r="R6" i="4"/>
  <c r="Q21" i="4"/>
  <c r="S21" i="4"/>
  <c r="T21" i="4"/>
  <c r="Q7" i="4"/>
  <c r="S7" i="4"/>
  <c r="T7" i="4"/>
  <c r="Q10" i="4"/>
  <c r="T10" i="4"/>
  <c r="S10" i="4"/>
  <c r="Q48" i="4"/>
  <c r="T48" i="4"/>
  <c r="S48" i="4"/>
  <c r="Q45" i="4"/>
  <c r="S45" i="4"/>
  <c r="T45" i="4"/>
  <c r="R45" i="4"/>
  <c r="R37" i="4"/>
  <c r="R46" i="4"/>
  <c r="Q53" i="4"/>
  <c r="S53" i="4"/>
  <c r="T53" i="4"/>
  <c r="Q32" i="4"/>
  <c r="T32" i="4"/>
  <c r="S32" i="4"/>
  <c r="R28" i="4"/>
  <c r="Q20" i="4"/>
  <c r="T20" i="4"/>
  <c r="S20" i="4"/>
  <c r="Q8" i="4"/>
  <c r="T8" i="4"/>
  <c r="S8" i="4"/>
  <c r="Q12" i="4"/>
  <c r="T12" i="4"/>
  <c r="S12" i="4"/>
  <c r="Q50" i="4"/>
  <c r="T50" i="4"/>
  <c r="S50" i="4"/>
  <c r="R50" i="4"/>
  <c r="R43" i="4"/>
  <c r="S35" i="4"/>
  <c r="T35" i="4"/>
  <c r="Q35" i="4"/>
  <c r="Q42" i="4"/>
  <c r="T42" i="4"/>
  <c r="S42" i="4"/>
  <c r="R44" i="4"/>
  <c r="Q27" i="4"/>
  <c r="S27" i="4"/>
  <c r="T27" i="4"/>
  <c r="Q17" i="4"/>
  <c r="T17" i="4"/>
  <c r="S17" i="4"/>
  <c r="Q5" i="4"/>
  <c r="S5" i="4"/>
  <c r="T5" i="4"/>
  <c r="Q14" i="4"/>
  <c r="S14" i="4"/>
  <c r="T14" i="4"/>
  <c r="Q47" i="4"/>
  <c r="S47" i="4"/>
  <c r="T47" i="4"/>
  <c r="S51" i="4"/>
  <c r="T51" i="4"/>
  <c r="Q51" i="4"/>
  <c r="Q36" i="4"/>
  <c r="T36" i="4"/>
  <c r="S36" i="4"/>
  <c r="Q22" i="4"/>
  <c r="T22" i="4"/>
  <c r="S22" i="4"/>
  <c r="S11" i="4"/>
  <c r="T11" i="4"/>
  <c r="Q11" i="4"/>
  <c r="Q16" i="4"/>
  <c r="T16" i="4"/>
  <c r="S16" i="4"/>
  <c r="Q54" i="4"/>
  <c r="S54" i="4"/>
  <c r="T54" i="4"/>
  <c r="R54" i="4"/>
  <c r="Q55" i="4"/>
  <c r="S55" i="4"/>
  <c r="T55" i="4"/>
  <c r="R55" i="4"/>
  <c r="Q34" i="4"/>
  <c r="S34" i="4"/>
  <c r="T34" i="4"/>
  <c r="Q40" i="4"/>
  <c r="T40" i="4"/>
  <c r="S40" i="4"/>
  <c r="R47" i="4"/>
  <c r="Q52" i="4"/>
  <c r="T52" i="4"/>
  <c r="S52" i="4"/>
  <c r="R52" i="4"/>
  <c r="R51" i="4"/>
  <c r="Q41" i="4"/>
  <c r="T41" i="4"/>
  <c r="S41" i="4"/>
  <c r="R41" i="4"/>
  <c r="Q33" i="4"/>
  <c r="T33" i="4"/>
  <c r="S33" i="4"/>
  <c r="Q38" i="4"/>
  <c r="T38" i="4"/>
  <c r="S38" i="4"/>
  <c r="R36" i="4"/>
  <c r="Q30" i="4"/>
  <c r="T30" i="4"/>
  <c r="S30" i="4"/>
  <c r="Q26" i="4"/>
  <c r="S26" i="4"/>
  <c r="T26" i="4"/>
  <c r="R22" i="4"/>
  <c r="Q18" i="4"/>
  <c r="S18" i="4"/>
  <c r="T18" i="4"/>
  <c r="Q6" i="4"/>
  <c r="S6" i="4"/>
  <c r="T6" i="4"/>
  <c r="R16" i="4"/>
  <c r="Q39" i="4"/>
  <c r="S39" i="4"/>
  <c r="T39" i="4"/>
  <c r="Q49" i="4"/>
  <c r="T49" i="4"/>
  <c r="S49" i="4"/>
  <c r="R34" i="4"/>
  <c r="R40" i="4"/>
  <c r="Q29" i="4"/>
  <c r="S29" i="4"/>
  <c r="T29" i="4"/>
  <c r="Q25" i="4"/>
  <c r="T25" i="4"/>
  <c r="S25" i="4"/>
  <c r="Q13" i="4"/>
  <c r="S13" i="4"/>
  <c r="T13" i="4"/>
  <c r="S3" i="4"/>
  <c r="Q3" i="4"/>
  <c r="S19" i="4"/>
  <c r="T19" i="4"/>
  <c r="Q19" i="4"/>
  <c r="Q37" i="4"/>
  <c r="S37" i="4"/>
  <c r="T37" i="4"/>
  <c r="Q46" i="4"/>
  <c r="S46" i="4"/>
  <c r="T46" i="4"/>
  <c r="Q28" i="4"/>
  <c r="T28" i="4"/>
  <c r="S28" i="4"/>
  <c r="Q24" i="4"/>
  <c r="T24" i="4"/>
  <c r="S24" i="4"/>
  <c r="S15" i="4"/>
  <c r="T15" i="4"/>
  <c r="Q15" i="4"/>
  <c r="Q4" i="4"/>
  <c r="T4" i="4"/>
  <c r="S4" i="4"/>
  <c r="S43" i="4"/>
  <c r="T43" i="4"/>
  <c r="Q43" i="4"/>
  <c r="Q44" i="4"/>
  <c r="T44" i="4"/>
  <c r="S44" i="4"/>
  <c r="S31" i="4"/>
  <c r="T31" i="4"/>
  <c r="Q31" i="4"/>
  <c r="R31" i="4"/>
  <c r="S23" i="4"/>
  <c r="T23" i="4"/>
  <c r="Q23" i="4"/>
  <c r="S9" i="4"/>
  <c r="Q9" i="4"/>
  <c r="T9" i="4"/>
  <c r="K46" i="4"/>
  <c r="J37" i="2"/>
  <c r="J75" i="2" s="1"/>
  <c r="J113" i="2" s="1"/>
  <c r="K45" i="4"/>
  <c r="K27" i="4"/>
  <c r="K42" i="4"/>
  <c r="K32" i="4"/>
  <c r="K24" i="4"/>
  <c r="K8" i="4"/>
  <c r="K28" i="4"/>
  <c r="J29" i="2"/>
  <c r="J67" i="2" s="1"/>
  <c r="J105" i="2" s="1"/>
  <c r="K41" i="4"/>
  <c r="K18" i="4"/>
  <c r="K25" i="4"/>
  <c r="K13" i="4"/>
  <c r="K15" i="4"/>
  <c r="K10" i="4"/>
  <c r="K21" i="4"/>
  <c r="K19" i="4"/>
  <c r="K34" i="4"/>
  <c r="K40" i="4"/>
  <c r="K29" i="4"/>
  <c r="K7" i="4"/>
  <c r="K33" i="4"/>
  <c r="K38" i="4"/>
  <c r="K36" i="4"/>
  <c r="K30" i="4"/>
  <c r="K26" i="4"/>
  <c r="K22" i="4"/>
  <c r="K11" i="4"/>
  <c r="K6" i="4"/>
  <c r="K16" i="4"/>
  <c r="K39" i="4"/>
  <c r="I56" i="4"/>
  <c r="H56" i="4"/>
  <c r="K37" i="4"/>
  <c r="K20" i="4"/>
  <c r="K4" i="4"/>
  <c r="K12" i="4"/>
  <c r="K43" i="4"/>
  <c r="K35" i="4"/>
  <c r="K44" i="4"/>
  <c r="K31" i="4"/>
  <c r="K23" i="4"/>
  <c r="K17" i="4"/>
  <c r="K9" i="4"/>
  <c r="K5" i="4"/>
  <c r="J56" i="4"/>
  <c r="L3" i="4"/>
  <c r="T3" i="4" s="1"/>
  <c r="D21" i="2" l="1"/>
  <c r="D59" i="2" s="1"/>
  <c r="D97" i="2" s="1"/>
  <c r="K22" i="2"/>
  <c r="K60" i="2" s="1"/>
  <c r="K98" i="2" s="1"/>
  <c r="C18" i="2"/>
  <c r="C56" i="2" s="1"/>
  <c r="C94" i="2" s="1"/>
  <c r="B20" i="2"/>
  <c r="B58" i="2" s="1"/>
  <c r="B96" i="2" s="1"/>
  <c r="K17" i="2"/>
  <c r="K55" i="2" s="1"/>
  <c r="K93" i="2" s="1"/>
  <c r="B21" i="2"/>
  <c r="B59" i="2" s="1"/>
  <c r="B97" i="2" s="1"/>
  <c r="I18" i="2"/>
  <c r="I56" i="2" s="1"/>
  <c r="I94" i="2" s="1"/>
  <c r="J26" i="2"/>
  <c r="J64" i="2" s="1"/>
  <c r="J102" i="2" s="1"/>
  <c r="J21" i="2"/>
  <c r="J59" i="2" s="1"/>
  <c r="J97" i="2" s="1"/>
  <c r="D23" i="2"/>
  <c r="D61" i="2" s="1"/>
  <c r="D99" i="2" s="1"/>
  <c r="J25" i="2"/>
  <c r="J63" i="2" s="1"/>
  <c r="J101" i="2" s="1"/>
  <c r="J14" i="2"/>
  <c r="J52" i="2" s="1"/>
  <c r="J90" i="2" s="1"/>
  <c r="E12" i="2"/>
  <c r="E50" i="2" s="1"/>
  <c r="E88" i="2" s="1"/>
  <c r="D25" i="2"/>
  <c r="D63" i="2" s="1"/>
  <c r="D101" i="2" s="1"/>
  <c r="C17" i="2"/>
  <c r="C55" i="2" s="1"/>
  <c r="C93" i="2" s="1"/>
  <c r="J15" i="2"/>
  <c r="J53" i="2" s="1"/>
  <c r="J91" i="2" s="1"/>
  <c r="E17" i="2"/>
  <c r="E55" i="2" s="1"/>
  <c r="E93" i="2" s="1"/>
  <c r="E14" i="2"/>
  <c r="E52" i="2" s="1"/>
  <c r="E90" i="2" s="1"/>
  <c r="C25" i="2"/>
  <c r="C63" i="2" s="1"/>
  <c r="C101" i="2" s="1"/>
  <c r="B22" i="2"/>
  <c r="B60" i="2" s="1"/>
  <c r="B98" i="2" s="1"/>
  <c r="J23" i="2"/>
  <c r="J61" i="2" s="1"/>
  <c r="J99" i="2" s="1"/>
  <c r="I11" i="2"/>
  <c r="I49" i="2" s="1"/>
  <c r="I87" i="2" s="1"/>
  <c r="J11" i="2"/>
  <c r="J49" i="2" s="1"/>
  <c r="J87" i="2" s="1"/>
  <c r="D11" i="2"/>
  <c r="D49" i="2" s="1"/>
  <c r="D87" i="2" s="1"/>
  <c r="K25" i="2"/>
  <c r="K63" i="2" s="1"/>
  <c r="K101" i="2" s="1"/>
  <c r="B24" i="2"/>
  <c r="B62" i="2" s="1"/>
  <c r="B100" i="2" s="1"/>
  <c r="J22" i="2"/>
  <c r="J60" i="2" s="1"/>
  <c r="J98" i="2" s="1"/>
  <c r="E23" i="2"/>
  <c r="E61" i="2" s="1"/>
  <c r="E99" i="2" s="1"/>
  <c r="B18" i="2"/>
  <c r="B56" i="2" s="1"/>
  <c r="B94" i="2" s="1"/>
  <c r="K21" i="2"/>
  <c r="K59" i="2" s="1"/>
  <c r="K97" i="2" s="1"/>
  <c r="C12" i="2"/>
  <c r="C50" i="2" s="1"/>
  <c r="C88" i="2" s="1"/>
  <c r="J17" i="2"/>
  <c r="J55" i="2" s="1"/>
  <c r="J93" i="2" s="1"/>
  <c r="C13" i="2"/>
  <c r="C51" i="2" s="1"/>
  <c r="C89" i="2" s="1"/>
  <c r="I17" i="2"/>
  <c r="I55" i="2" s="1"/>
  <c r="I93" i="2" s="1"/>
  <c r="I25" i="2"/>
  <c r="I63" i="2" s="1"/>
  <c r="I101" i="2" s="1"/>
  <c r="D13" i="2"/>
  <c r="D51" i="2" s="1"/>
  <c r="D89" i="2" s="1"/>
  <c r="E13" i="2"/>
  <c r="E51" i="2" s="1"/>
  <c r="E89" i="2" s="1"/>
  <c r="K14" i="2"/>
  <c r="K52" i="2" s="1"/>
  <c r="K90" i="2" s="1"/>
  <c r="C26" i="2"/>
  <c r="C64" i="2" s="1"/>
  <c r="C102" i="2" s="1"/>
  <c r="I15" i="2"/>
  <c r="I53" i="2" s="1"/>
  <c r="I91" i="2" s="1"/>
  <c r="H14" i="2"/>
  <c r="H52" i="2" s="1"/>
  <c r="H90" i="2" s="1"/>
  <c r="J18" i="2"/>
  <c r="J56" i="2" s="1"/>
  <c r="J94" i="2" s="1"/>
  <c r="D26" i="2"/>
  <c r="D64" i="2" s="1"/>
  <c r="D102" i="2" s="1"/>
  <c r="C23" i="2"/>
  <c r="C61" i="2" s="1"/>
  <c r="C99" i="2" s="1"/>
  <c r="K24" i="2"/>
  <c r="K62" i="2" s="1"/>
  <c r="K100" i="2" s="1"/>
  <c r="B16" i="2"/>
  <c r="B54" i="2" s="1"/>
  <c r="B92" i="2" s="1"/>
  <c r="K19" i="2"/>
  <c r="K57" i="2" s="1"/>
  <c r="K95" i="2" s="1"/>
  <c r="K16" i="2"/>
  <c r="K54" i="2" s="1"/>
  <c r="K92" i="2" s="1"/>
  <c r="H11" i="2"/>
  <c r="H49" i="2" s="1"/>
  <c r="H87" i="2" s="1"/>
  <c r="E21" i="2"/>
  <c r="E59" i="2" s="1"/>
  <c r="E97" i="2" s="1"/>
  <c r="D16" i="2"/>
  <c r="D54" i="2" s="1"/>
  <c r="D92" i="2" s="1"/>
  <c r="C22" i="2"/>
  <c r="C60" i="2" s="1"/>
  <c r="C98" i="2" s="1"/>
  <c r="B23" i="2"/>
  <c r="B61" i="2" s="1"/>
  <c r="B99" i="2" s="1"/>
  <c r="J13" i="2"/>
  <c r="J51" i="2" s="1"/>
  <c r="J89" i="2" s="1"/>
  <c r="C24" i="2"/>
  <c r="C62" i="2" s="1"/>
  <c r="C100" i="2" s="1"/>
  <c r="H12" i="2"/>
  <c r="H50" i="2" s="1"/>
  <c r="H88" i="2" s="1"/>
  <c r="C16" i="2"/>
  <c r="C54" i="2" s="1"/>
  <c r="C92" i="2" s="1"/>
  <c r="J19" i="2"/>
  <c r="J57" i="2" s="1"/>
  <c r="J95" i="2" s="1"/>
  <c r="B14" i="2"/>
  <c r="B52" i="2" s="1"/>
  <c r="B90" i="2" s="1"/>
  <c r="D20" i="2"/>
  <c r="D58" i="2" s="1"/>
  <c r="D96" i="2" s="1"/>
  <c r="J12" i="2"/>
  <c r="J50" i="2" s="1"/>
  <c r="J88" i="2" s="1"/>
  <c r="K20" i="2"/>
  <c r="K58" i="2" s="1"/>
  <c r="K96" i="2" s="1"/>
  <c r="I16" i="2"/>
  <c r="I54" i="2" s="1"/>
  <c r="I92" i="2" s="1"/>
  <c r="H21" i="2"/>
  <c r="H59" i="2" s="1"/>
  <c r="H97" i="2" s="1"/>
  <c r="I22" i="2"/>
  <c r="I60" i="2" s="1"/>
  <c r="I98" i="2" s="1"/>
  <c r="D17" i="2"/>
  <c r="D55" i="2" s="1"/>
  <c r="D93" i="2" s="1"/>
  <c r="H19" i="2"/>
  <c r="H57" i="2" s="1"/>
  <c r="H95" i="2" s="1"/>
  <c r="E20" i="2"/>
  <c r="E58" i="2" s="1"/>
  <c r="E96" i="2" s="1"/>
  <c r="H15" i="2"/>
  <c r="H53" i="2" s="1"/>
  <c r="H91" i="2" s="1"/>
  <c r="D22" i="2"/>
  <c r="D60" i="2" s="1"/>
  <c r="D98" i="2" s="1"/>
  <c r="C11" i="2"/>
  <c r="C49" i="2" s="1"/>
  <c r="C87" i="2" s="1"/>
  <c r="C15" i="2"/>
  <c r="C53" i="2" s="1"/>
  <c r="C91" i="2" s="1"/>
  <c r="K13" i="2"/>
  <c r="K51" i="2" s="1"/>
  <c r="K89" i="2" s="1"/>
  <c r="C14" i="2"/>
  <c r="C52" i="2" s="1"/>
  <c r="C90" i="2" s="1"/>
  <c r="I20" i="2"/>
  <c r="I58" i="2" s="1"/>
  <c r="I96" i="2" s="1"/>
  <c r="H18" i="2"/>
  <c r="H56" i="2" s="1"/>
  <c r="H94" i="2" s="1"/>
  <c r="K15" i="2"/>
  <c r="K53" i="2" s="1"/>
  <c r="K91" i="2" s="1"/>
  <c r="J20" i="2"/>
  <c r="J58" i="2" s="1"/>
  <c r="J96" i="2" s="1"/>
  <c r="H17" i="2"/>
  <c r="H55" i="2" s="1"/>
  <c r="H93" i="2" s="1"/>
  <c r="B11" i="2"/>
  <c r="B49" i="2" s="1"/>
  <c r="B87" i="2" s="1"/>
  <c r="K12" i="2"/>
  <c r="K50" i="2" s="1"/>
  <c r="K88" i="2" s="1"/>
  <c r="B25" i="2"/>
  <c r="B63" i="2" s="1"/>
  <c r="B101" i="2" s="1"/>
  <c r="E19" i="2"/>
  <c r="E57" i="2" s="1"/>
  <c r="E95" i="2" s="1"/>
  <c r="E11" i="2"/>
  <c r="E49" i="2" s="1"/>
  <c r="E87" i="2" s="1"/>
  <c r="I12" i="2"/>
  <c r="I50" i="2" s="1"/>
  <c r="I88" i="2" s="1"/>
  <c r="H20" i="2"/>
  <c r="H58" i="2" s="1"/>
  <c r="H96" i="2" s="1"/>
  <c r="H16" i="2"/>
  <c r="H54" i="2" s="1"/>
  <c r="H92" i="2" s="1"/>
  <c r="D12" i="2"/>
  <c r="D50" i="2" s="1"/>
  <c r="D88" i="2" s="1"/>
  <c r="B17" i="2"/>
  <c r="B55" i="2" s="1"/>
  <c r="B93" i="2" s="1"/>
  <c r="J16" i="2"/>
  <c r="J54" i="2" s="1"/>
  <c r="J92" i="2" s="1"/>
  <c r="I13" i="2"/>
  <c r="I51" i="2" s="1"/>
  <c r="I89" i="2" s="1"/>
  <c r="H23" i="2"/>
  <c r="H61" i="2" s="1"/>
  <c r="H99" i="2" s="1"/>
  <c r="H13" i="2"/>
  <c r="H51" i="2" s="1"/>
  <c r="H89" i="2" s="1"/>
  <c r="I23" i="2"/>
  <c r="I61" i="2" s="1"/>
  <c r="I99" i="2" s="1"/>
  <c r="H22" i="2"/>
  <c r="H60" i="2" s="1"/>
  <c r="H98" i="2" s="1"/>
  <c r="D18" i="2"/>
  <c r="D56" i="2" s="1"/>
  <c r="D94" i="2" s="1"/>
  <c r="E18" i="2"/>
  <c r="E56" i="2" s="1"/>
  <c r="E94" i="2" s="1"/>
  <c r="J24" i="2"/>
  <c r="J62" i="2" s="1"/>
  <c r="J100" i="2" s="1"/>
  <c r="B19" i="2"/>
  <c r="B57" i="2" s="1"/>
  <c r="B95" i="2" s="1"/>
  <c r="C21" i="2"/>
  <c r="C59" i="2" s="1"/>
  <c r="C97" i="2" s="1"/>
  <c r="H24" i="2"/>
  <c r="H62" i="2" s="1"/>
  <c r="H100" i="2" s="1"/>
  <c r="I21" i="2"/>
  <c r="I59" i="2" s="1"/>
  <c r="I97" i="2" s="1"/>
  <c r="E26" i="2"/>
  <c r="E64" i="2" s="1"/>
  <c r="E102" i="2" s="1"/>
  <c r="K11" i="2"/>
  <c r="K49" i="2" s="1"/>
  <c r="K87" i="2" s="1"/>
  <c r="E16" i="2"/>
  <c r="E54" i="2" s="1"/>
  <c r="E92" i="2" s="1"/>
  <c r="K18" i="2"/>
  <c r="K56" i="2" s="1"/>
  <c r="K94" i="2" s="1"/>
  <c r="I19" i="2"/>
  <c r="I57" i="2" s="1"/>
  <c r="I95" i="2" s="1"/>
  <c r="I14" i="2"/>
  <c r="I52" i="2" s="1"/>
  <c r="I90" i="2" s="1"/>
  <c r="D24" i="2"/>
  <c r="D62" i="2" s="1"/>
  <c r="D100" i="2" s="1"/>
  <c r="E25" i="2"/>
  <c r="E63" i="2" s="1"/>
  <c r="E101" i="2" s="1"/>
  <c r="I26" i="2"/>
  <c r="I64" i="2" s="1"/>
  <c r="I102" i="2" s="1"/>
  <c r="E24" i="2"/>
  <c r="E62" i="2" s="1"/>
  <c r="E100" i="2" s="1"/>
  <c r="K26" i="2"/>
  <c r="K64" i="2" s="1"/>
  <c r="K102" i="2" s="1"/>
  <c r="C20" i="2"/>
  <c r="C58" i="2" s="1"/>
  <c r="C96" i="2" s="1"/>
  <c r="C19" i="2"/>
  <c r="C57" i="2" s="1"/>
  <c r="C95" i="2" s="1"/>
  <c r="D19" i="2"/>
  <c r="D57" i="2" s="1"/>
  <c r="D95" i="2" s="1"/>
  <c r="D15" i="2"/>
  <c r="D53" i="2" s="1"/>
  <c r="D91" i="2" s="1"/>
  <c r="B26" i="2"/>
  <c r="B64" i="2" s="1"/>
  <c r="B102" i="2" s="1"/>
  <c r="B13" i="2"/>
  <c r="B51" i="2" s="1"/>
  <c r="B89" i="2" s="1"/>
  <c r="H25" i="2"/>
  <c r="H63" i="2" s="1"/>
  <c r="H101" i="2" s="1"/>
  <c r="B15" i="2"/>
  <c r="B53" i="2" s="1"/>
  <c r="B91" i="2" s="1"/>
  <c r="I24" i="2"/>
  <c r="I62" i="2" s="1"/>
  <c r="I100" i="2" s="1"/>
  <c r="K23" i="2"/>
  <c r="K61" i="2" s="1"/>
  <c r="K99" i="2" s="1"/>
  <c r="E22" i="2"/>
  <c r="E60" i="2" s="1"/>
  <c r="E98" i="2" s="1"/>
  <c r="H26" i="2"/>
  <c r="H64" i="2" s="1"/>
  <c r="H102" i="2" s="1"/>
  <c r="D14" i="2"/>
  <c r="D52" i="2" s="1"/>
  <c r="D90" i="2" s="1"/>
  <c r="E15" i="2"/>
  <c r="E53" i="2" s="1"/>
  <c r="E91" i="2" s="1"/>
  <c r="K35" i="2"/>
  <c r="K73" i="2" s="1"/>
  <c r="K111" i="2" s="1"/>
  <c r="K31" i="2"/>
  <c r="K69" i="2" s="1"/>
  <c r="K107" i="2" s="1"/>
  <c r="J33" i="2"/>
  <c r="J71" i="2" s="1"/>
  <c r="J109" i="2" s="1"/>
  <c r="K56" i="4"/>
  <c r="X3" i="4"/>
  <c r="X2" i="4"/>
  <c r="X4" i="4" s="1"/>
  <c r="L56" i="4"/>
</calcChain>
</file>

<file path=xl/sharedStrings.xml><?xml version="1.0" encoding="utf-8"?>
<sst xmlns="http://schemas.openxmlformats.org/spreadsheetml/2006/main" count="392" uniqueCount="249">
  <si>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</si>
  <si>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</si>
  <si>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</si>
  <si>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</si>
  <si>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</si>
  <si>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</si>
  <si>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</si>
  <si>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</si>
  <si>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</si>
  <si>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</si>
  <si>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</si>
  <si>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</si>
  <si>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</si>
  <si>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</si>
  <si>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</si>
  <si>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</si>
  <si>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</si>
  <si>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</si>
  <si>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</si>
  <si>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</si>
  <si>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</si>
  <si>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</si>
  <si>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</si>
  <si>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</si>
  <si>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</si>
  <si>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</si>
  <si>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</si>
  <si>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</si>
  <si>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</si>
  <si>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</si>
  <si>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</si>
  <si>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</si>
  <si>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</si>
  <si>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</si>
  <si>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</si>
  <si>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</si>
  <si>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</si>
  <si>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</si>
  <si>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</si>
  <si>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</si>
  <si>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</si>
  <si>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</si>
  <si>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</si>
  <si>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</si>
  <si>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</si>
  <si>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</si>
  <si>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</si>
  <si>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</si>
  <si>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</si>
  <si>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</si>
  <si>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</si>
  <si>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</si>
  <si>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</si>
  <si>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</si>
  <si>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</si>
  <si>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</si>
  <si>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</si>
  <si>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</si>
  <si>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</si>
  <si>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</si>
  <si>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</si>
  <si>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</si>
  <si>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</si>
  <si>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</si>
  <si>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</si>
  <si>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</si>
  <si>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</si>
  <si>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</si>
  <si>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</si>
  <si>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</si>
  <si>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</si>
  <si>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</si>
  <si>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</si>
  <si>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</si>
  <si>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</si>
  <si>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</si>
  <si>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</si>
  <si>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</si>
  <si>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</si>
  <si>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</si>
  <si>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</si>
  <si>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</si>
  <si>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</si>
  <si>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</si>
  <si>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</si>
  <si>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</si>
  <si>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</si>
  <si>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</si>
  <si>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</si>
  <si>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</si>
  <si>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</si>
  <si>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</si>
  <si>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</si>
  <si>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</si>
  <si>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</si>
  <si>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</si>
  <si>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</si>
  <si>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</si>
  <si>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</si>
  <si>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</si>
  <si>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</si>
  <si>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</si>
  <si>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</si>
  <si>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</si>
  <si>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</si>
  <si>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</si>
  <si>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</si>
  <si>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</si>
  <si>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</si>
  <si>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</si>
  <si>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</si>
  <si>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</si>
  <si>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</si>
  <si>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</si>
  <si>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</si>
  <si>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</si>
  <si>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</si>
  <si>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</si>
  <si>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</si>
  <si>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</si>
  <si>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</si>
  <si>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</si>
  <si>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</si>
  <si>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</si>
  <si>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</si>
  <si>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</si>
  <si>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</si>
  <si>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</si>
  <si>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</si>
  <si>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KO</t>
  </si>
  <si>
    <t>1417</t>
  </si>
  <si>
    <t>LSN</t>
  </si>
  <si>
    <t>ISIKENBESAR</t>
  </si>
  <si>
    <t>NOVI / CONDRO</t>
  </si>
  <si>
    <t>ISI CUTTER 18 MM KENKO L-150 (BESAR)</t>
  </si>
  <si>
    <t>ISI CUTTER 18 MM KENKO L-150 (BESAR)LSN64800</t>
  </si>
  <si>
    <t>G</t>
  </si>
  <si>
    <t>1435</t>
  </si>
  <si>
    <t>PENJKBP338</t>
  </si>
  <si>
    <t>BOX</t>
  </si>
  <si>
    <t>ISIKEN1210</t>
  </si>
  <si>
    <t>TIPKENKE01</t>
  </si>
  <si>
    <t>LEMKEN8GR</t>
  </si>
  <si>
    <t>PCS</t>
  </si>
  <si>
    <t>HIGHLIGHTER / STABILO KENKO HL-100 PINK</t>
  </si>
  <si>
    <t>HIGHLIGHTER / STABILO KENKO HL-100 HIJAU</t>
  </si>
  <si>
    <t>BALLPEN JOYKO BP-338 VOCUS HITAM</t>
  </si>
  <si>
    <t>ISI STAPLER (STAPLES) KENKO 1210 PREMIUM (23/10)</t>
  </si>
  <si>
    <t>CORRECTION FLUID KENKO KE-01</t>
  </si>
  <si>
    <t>LEM STICK KENKO 8 GR (KECIL) isi 30 pc</t>
  </si>
  <si>
    <t>BALLPEN JOYKO BP-338 VOCUS HITAMLSN12600</t>
  </si>
  <si>
    <t>CORRECTION FLUID KENKO KE-01LSN54300</t>
  </si>
  <si>
    <t>HIGHLIGHTER / STABILO KENKO HL-100 HIJAUPCS3050</t>
  </si>
  <si>
    <t>HIGHLIGHTER / STABILO KENKO HL-100 PINKPCS3050</t>
  </si>
  <si>
    <t>ISI STAPLER (STAPLES) KENKO 1210 PREMIUM (23/10)BOX4200</t>
  </si>
  <si>
    <t>LEM STICK KENKO 8 GR (KECIL) isi 30 pcBOX66000</t>
  </si>
  <si>
    <t>1458</t>
  </si>
  <si>
    <t>PENJKGP265</t>
  </si>
  <si>
    <t>STIJK40PUTIH</t>
  </si>
  <si>
    <t>GEL PEN JOYKO GP-265 Q-GEL</t>
  </si>
  <si>
    <t>STIP / PENGHAPUS JOYKO 526-B40P PUTIH</t>
  </si>
  <si>
    <t>GEL PEN JOYKO GP-265 Q-GELLSN28200</t>
  </si>
  <si>
    <t>1459</t>
  </si>
  <si>
    <t>TIPJKCT522</t>
  </si>
  <si>
    <t>OPJK24W</t>
  </si>
  <si>
    <t>CALJKCC800CH</t>
  </si>
  <si>
    <t>CRAYON / OIL PASTEL JOYKO OP-24S PP CASE SEA WORLD</t>
  </si>
  <si>
    <t>CORRECTION TAPE JOYKO CT-522</t>
  </si>
  <si>
    <t>CALCULATOR JOYKO CC-800CH</t>
  </si>
  <si>
    <t>CALCULATOR JOYKO CC-800CHPCS79000</t>
  </si>
  <si>
    <t>CORRECTION TAPE JOYKO CT-522PCS4800</t>
  </si>
  <si>
    <t>CRAYON / OIL PASTEL JOYKO OP-24S PP CASE SEA WORLDPCS29600</t>
  </si>
  <si>
    <t>STIP / PENGHAPUS JOYKO 526-B40P PUTIHBOX28300</t>
  </si>
  <si>
    <t>KO 1467</t>
  </si>
  <si>
    <t>GRS</t>
  </si>
  <si>
    <t>PENKEN6191</t>
  </si>
  <si>
    <t>PENSIL KENKO 2B-6191 HIJAU CAP HITAM</t>
  </si>
  <si>
    <t>PENSIL KENKO 2B-6191 HIJAU CAP HITAMGRS110400</t>
  </si>
  <si>
    <t>1474</t>
  </si>
  <si>
    <t>OPJK12W</t>
  </si>
  <si>
    <t>CRAYON / OIL PASTEL JOYKO OP-12S PP CASE SEA WORLD</t>
  </si>
  <si>
    <t>CRAYON / OIL PASTEL JOYKO OP-12S PP CASE SEA WORLDPCS11900</t>
  </si>
  <si>
    <t>ko</t>
  </si>
  <si>
    <t>1027</t>
  </si>
  <si>
    <t>lancar</t>
  </si>
  <si>
    <t>TIPJKCT507</t>
  </si>
  <si>
    <t>PWJK24WPANJANG</t>
  </si>
  <si>
    <t>PWJK12WPENDEK</t>
  </si>
  <si>
    <t>PWJK12WPANJANG</t>
  </si>
  <si>
    <t>STAJKHD50</t>
  </si>
  <si>
    <t>STIJK20PUTIH</t>
  </si>
  <si>
    <t>TIPJKCT508</t>
  </si>
  <si>
    <t>CORRECTION TAPE JOYKO CT-507</t>
  </si>
  <si>
    <t>CORRECTION TAPE JOYKO CT-508</t>
  </si>
  <si>
    <t>PENSIL WARNA JOYKO CP-24PB (PANJANG)</t>
  </si>
  <si>
    <t>PENSIL WARNA JOYKO CP-S12 MINI (PENDEK)</t>
  </si>
  <si>
    <t>PENSIL WARNA JOYKO CP-12PB (PANJANG)</t>
  </si>
  <si>
    <t>STAPLER JOYKO HD-50</t>
  </si>
  <si>
    <t>STIP / PENGHAPUS JOYKO 526-B20 PUTIH</t>
  </si>
  <si>
    <t>CORRECTION TAPE JOYKO CT-507LSN55200</t>
  </si>
  <si>
    <t>CORRECTION TAPE JOYKO CT-508LSN54000</t>
  </si>
  <si>
    <t>PENSIL WARNA JOYKO CP-12PB (PANJANG)PCS10600</t>
  </si>
  <si>
    <t>PENSIL WARNA JOYKO CP-24PB (PANJANG)PCS21200</t>
  </si>
  <si>
    <t>PENSIL WARNA JOYKO CP-S12 MINI (PENDEK)PCS6700</t>
  </si>
  <si>
    <t>STAPLER JOYKO HD-50PCS18700</t>
  </si>
  <si>
    <t>STIP / PENGHAPUS JOYKO 526-B20 PUTIHBOX34100</t>
  </si>
  <si>
    <t>1482</t>
  </si>
  <si>
    <t>LS</t>
  </si>
  <si>
    <t>PENSIL WARNA KAYAGI KY-CP1224 TWIN</t>
  </si>
  <si>
    <t>HIGHLIGHTER / STABILLO TIZO TF-616 (isi 24 pc)</t>
  </si>
  <si>
    <t>HIGHLIGHTER / STABILLO TIZO TF-610 (isi 54 pc)</t>
  </si>
  <si>
    <t>GEL PEN TIZO TG30801-EL</t>
  </si>
  <si>
    <t>GEL PEN TIZO TG31590-EL</t>
  </si>
  <si>
    <t>GEL PEN TIZO TG31762-EL</t>
  </si>
  <si>
    <t>SET</t>
  </si>
  <si>
    <t>COLOR BRUSH PEN KENKO DBP-12 DUAL TIP  (12 WARNA)</t>
  </si>
  <si>
    <t>TAPE DISPENSER POLAR BEAR MN-305 @12pc</t>
  </si>
  <si>
    <t>2944</t>
  </si>
  <si>
    <t>COLOR BRUSH PEN KENKO DBP-12 DUAL TIP  (12 WARNA)SET25000</t>
  </si>
  <si>
    <t>GEL PEN TIZO TG30801-ELLS18500</t>
  </si>
  <si>
    <t>GEL PEN TIZO TG31590-ELLS18500</t>
  </si>
  <si>
    <t>GEL PEN TIZO TG31762-ELLS18500</t>
  </si>
  <si>
    <t>HIGHLIGHTER / STABILLO TIZO TF-610 (isi 54 pc)BOX122000</t>
  </si>
  <si>
    <t>HIGHLIGHTER / STABILLO TIZO TF-616 (isi 24 pc)BOX57000</t>
  </si>
  <si>
    <t>PENSIL WARNA KAYAGI KY-CP1224 TWINLS149000</t>
  </si>
  <si>
    <t>TAPE DISPENSER POLAR BEAR MN-305 @12pcBOX105000</t>
  </si>
  <si>
    <t>RISMA / YO</t>
  </si>
  <si>
    <t>4010</t>
  </si>
  <si>
    <t>PENCIL CASE 22 x 7.5 MAGNET C-1758</t>
  </si>
  <si>
    <t>NOVI / YO</t>
  </si>
  <si>
    <t>PENCIL CASE 22 x 7.5 MAGNET C-1758LS150000</t>
  </si>
  <si>
    <t>AAAAAAAA</t>
  </si>
  <si>
    <t>2945</t>
  </si>
  <si>
    <t>dwijaya</t>
  </si>
  <si>
    <t>TIPKENCT606</t>
  </si>
  <si>
    <t>CORRECTION TAPE KENKO CT-606 (6M x 5MM)</t>
  </si>
  <si>
    <t>PUNKEN40</t>
  </si>
  <si>
    <t>PUNCH KENKO NO. 40</t>
  </si>
  <si>
    <t>CORRECTION TAPE KENKO CT-606 (6M x 5MM)LSN58800</t>
  </si>
  <si>
    <t>PUNCH KENKO NO. 40LSN282000</t>
  </si>
  <si>
    <t>1463</t>
  </si>
  <si>
    <t>ISOKENTD321</t>
  </si>
  <si>
    <t>TAPE DISPENSER KENKO TD-321 (1" &amp; 3" CORE)</t>
  </si>
  <si>
    <t>RISMA / CONDRO</t>
  </si>
  <si>
    <t>TAPE DISPENSER KENKO TD-321 (1" &amp; 3" CORE)PCS18500</t>
  </si>
  <si>
    <t>1464</t>
  </si>
  <si>
    <t>STAJKHL100</t>
  </si>
  <si>
    <t>HIGHLIGHTER / STABILLO JOYKO HL MIX (kuning, hijau)</t>
  </si>
  <si>
    <t>HIGHLIGHTER / STABILLO JOYKO HL MIX (kuning, hijau)PCS3700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</si>
</sst>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1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6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11">
    <dxf>
      <alignment horizontal="left" readingOrder="0"/>
    </dxf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1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23040001</v>
          </cell>
        </row>
        <row r="4">
          <cell r="D4">
            <v>45021</v>
          </cell>
        </row>
        <row r="6">
          <cell r="D6" t="str">
            <v>KO 1417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2</v>
          </cell>
          <cell r="E10" t="str">
            <v>ISI CUTTER 18 MM KENKO L-150 (BESAR)</v>
          </cell>
          <cell r="K10">
            <v>6726240</v>
          </cell>
        </row>
        <row r="11">
          <cell r="K11">
            <v>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6726240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666564.32432432426</v>
          </cell>
        </row>
        <row r="34">
          <cell r="K34">
            <v>6726240</v>
          </cell>
        </row>
        <row r="36">
          <cell r="J36" t="str">
            <v>NOVI / CONDRO</v>
          </cell>
        </row>
        <row r="40">
          <cell r="D40" t="str">
            <v>AM</v>
          </cell>
          <cell r="E40">
            <v>23040001</v>
          </cell>
        </row>
        <row r="42">
          <cell r="D42">
            <v>45021</v>
          </cell>
        </row>
        <row r="44">
          <cell r="D44" t="str">
            <v>KO 1417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2</v>
          </cell>
          <cell r="E48" t="str">
            <v>ISI CUTTER 18 MM KENKO L-150 (BESAR)</v>
          </cell>
          <cell r="J48">
            <v>0</v>
          </cell>
          <cell r="K48">
            <v>6726240</v>
          </cell>
        </row>
        <row r="49">
          <cell r="D49">
            <v>0</v>
          </cell>
          <cell r="E49">
            <v>0</v>
          </cell>
          <cell r="J49">
            <v>0</v>
          </cell>
          <cell r="K49">
            <v>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6726240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666564.32432432426</v>
          </cell>
        </row>
        <row r="72">
          <cell r="K72">
            <v>6726240</v>
          </cell>
        </row>
        <row r="74">
          <cell r="J74" t="str">
            <v>NOVI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23040001</v>
          </cell>
        </row>
        <row r="80">
          <cell r="D80">
            <v>45021</v>
          </cell>
        </row>
        <row r="82">
          <cell r="D82" t="str">
            <v>KO 1417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2</v>
          </cell>
          <cell r="E86" t="str">
            <v>ISI CUTTER 18 MM KENKO L-150 (BESAR)</v>
          </cell>
          <cell r="J86">
            <v>0</v>
          </cell>
          <cell r="K86">
            <v>6726240</v>
          </cell>
        </row>
        <row r="87">
          <cell r="D87">
            <v>0</v>
          </cell>
          <cell r="E87">
            <v>0</v>
          </cell>
          <cell r="J87">
            <v>0</v>
          </cell>
          <cell r="K87">
            <v>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6726240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666564.32432432426</v>
          </cell>
        </row>
        <row r="110">
          <cell r="K110">
            <v>6726240</v>
          </cell>
        </row>
        <row r="112">
          <cell r="J112" t="str">
            <v>NOVI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23040002</v>
          </cell>
        </row>
        <row r="118">
          <cell r="D118">
            <v>45024</v>
          </cell>
        </row>
        <row r="120">
          <cell r="D120" t="str">
            <v>KO 1435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BALLPEN JOYKO BP-338 VOCUS HITAM</v>
          </cell>
          <cell r="K124">
            <v>1569456</v>
          </cell>
        </row>
        <row r="125">
          <cell r="D125">
            <v>4</v>
          </cell>
          <cell r="E125" t="str">
            <v>ISI STAPLER (STAPLES) KENKO 1210 PREMIUM (23/10)</v>
          </cell>
          <cell r="K125">
            <v>2906400</v>
          </cell>
        </row>
        <row r="126">
          <cell r="D126">
            <v>3</v>
          </cell>
          <cell r="E126" t="str">
            <v>CORRECTION FLUID KENKO KE-01</v>
          </cell>
          <cell r="K126">
            <v>10145412</v>
          </cell>
        </row>
        <row r="127">
          <cell r="D127">
            <v>1</v>
          </cell>
          <cell r="E127" t="str">
            <v>LEM STICK KENKO 8 GR (KECIL) isi 30 pc</v>
          </cell>
          <cell r="K127">
            <v>2055240</v>
          </cell>
        </row>
        <row r="128">
          <cell r="D128">
            <v>1</v>
          </cell>
          <cell r="E128" t="str">
            <v>HIGHLIGHTER / STABILO KENKO HL-100 PINK</v>
          </cell>
          <cell r="K128">
            <v>1266360</v>
          </cell>
        </row>
        <row r="129">
          <cell r="D129">
            <v>1</v>
          </cell>
          <cell r="E129" t="str">
            <v>HIGHLIGHTER / STABILO KENKO HL-100 HIJAU</v>
          </cell>
          <cell r="K129">
            <v>1266360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19209228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1903617.1891891889</v>
          </cell>
        </row>
        <row r="148">
          <cell r="K148">
            <v>19209228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23040002</v>
          </cell>
        </row>
        <row r="156">
          <cell r="D156">
            <v>45024</v>
          </cell>
        </row>
        <row r="158">
          <cell r="D158" t="str">
            <v>KO 1435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BALLPEN JOYKO BP-338 VOCUS HITAM</v>
          </cell>
          <cell r="J162">
            <v>0</v>
          </cell>
          <cell r="K162">
            <v>1569456</v>
          </cell>
        </row>
        <row r="163">
          <cell r="D163">
            <v>4</v>
          </cell>
          <cell r="E163" t="str">
            <v>ISI STAPLER (STAPLES) KENKO 1210 PREMIUM (23/10)</v>
          </cell>
          <cell r="J163">
            <v>0</v>
          </cell>
          <cell r="K163">
            <v>2906400</v>
          </cell>
        </row>
        <row r="164">
          <cell r="D164">
            <v>3</v>
          </cell>
          <cell r="E164" t="str">
            <v>CORRECTION FLUID KENKO KE-01</v>
          </cell>
          <cell r="J164">
            <v>0</v>
          </cell>
          <cell r="K164">
            <v>10145412</v>
          </cell>
        </row>
        <row r="165">
          <cell r="D165">
            <v>1</v>
          </cell>
          <cell r="E165" t="str">
            <v>LEM STICK KENKO 8 GR (KECIL) isi 30 pc</v>
          </cell>
          <cell r="J165">
            <v>0</v>
          </cell>
          <cell r="K165">
            <v>2055240</v>
          </cell>
        </row>
        <row r="166">
          <cell r="D166">
            <v>1</v>
          </cell>
          <cell r="E166" t="str">
            <v>HIGHLIGHTER / STABILO KENKO HL-100 PINK</v>
          </cell>
          <cell r="J166">
            <v>0</v>
          </cell>
          <cell r="K166">
            <v>1266360</v>
          </cell>
        </row>
        <row r="167">
          <cell r="D167">
            <v>1</v>
          </cell>
          <cell r="E167" t="str">
            <v>HIGHLIGHTER / STABILO KENKO HL-100 HIJAU</v>
          </cell>
          <cell r="J167">
            <v>0</v>
          </cell>
          <cell r="K167">
            <v>1266360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19209228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1903617.1891891889</v>
          </cell>
        </row>
        <row r="186">
          <cell r="K186">
            <v>19209228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23040002</v>
          </cell>
        </row>
        <row r="194">
          <cell r="D194">
            <v>45024</v>
          </cell>
        </row>
        <row r="196">
          <cell r="D196" t="str">
            <v>KO 1435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BALLPEN JOYKO BP-338 VOCUS HITAM</v>
          </cell>
          <cell r="J200">
            <v>0</v>
          </cell>
          <cell r="K200">
            <v>1569456</v>
          </cell>
        </row>
        <row r="201">
          <cell r="D201">
            <v>4</v>
          </cell>
          <cell r="E201" t="str">
            <v>ISI STAPLER (STAPLES) KENKO 1210 PREMIUM (23/10)</v>
          </cell>
          <cell r="J201">
            <v>0</v>
          </cell>
          <cell r="K201">
            <v>2906400</v>
          </cell>
        </row>
        <row r="202">
          <cell r="D202">
            <v>3</v>
          </cell>
          <cell r="E202" t="str">
            <v>CORRECTION FLUID KENKO KE-01</v>
          </cell>
          <cell r="J202">
            <v>0</v>
          </cell>
          <cell r="K202">
            <v>10145412</v>
          </cell>
        </row>
        <row r="203">
          <cell r="D203">
            <v>1</v>
          </cell>
          <cell r="E203" t="str">
            <v>LEM STICK KENKO 8 GR (KECIL) isi 30 pc</v>
          </cell>
          <cell r="J203">
            <v>0</v>
          </cell>
          <cell r="K203">
            <v>2055240</v>
          </cell>
        </row>
        <row r="204">
          <cell r="D204">
            <v>1</v>
          </cell>
          <cell r="E204" t="str">
            <v>HIGHLIGHTER / STABILO KENKO HL-100 PINK</v>
          </cell>
          <cell r="J204">
            <v>0</v>
          </cell>
          <cell r="K204">
            <v>1266360</v>
          </cell>
        </row>
        <row r="205">
          <cell r="D205">
            <v>1</v>
          </cell>
          <cell r="E205" t="str">
            <v>HIGHLIGHTER / STABILO KENKO HL-100 HIJAU</v>
          </cell>
          <cell r="J205">
            <v>0</v>
          </cell>
          <cell r="K205">
            <v>1266360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19209228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1903617.1891891889</v>
          </cell>
        </row>
        <row r="224">
          <cell r="K224">
            <v>19209228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23040003</v>
          </cell>
        </row>
        <row r="232">
          <cell r="D232">
            <v>45024</v>
          </cell>
        </row>
        <row r="234">
          <cell r="D234" t="str">
            <v>KO 1458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1</v>
          </cell>
          <cell r="E238" t="str">
            <v>GEL PEN JOYKO GP-265 Q-GEL</v>
          </cell>
          <cell r="K238">
            <v>3512592</v>
          </cell>
        </row>
        <row r="239">
          <cell r="D239">
            <v>1</v>
          </cell>
          <cell r="E239" t="str">
            <v>STIP / PENGHAPUS JOYKO 526-B40P PUTIH</v>
          </cell>
          <cell r="K239">
            <v>1223975</v>
          </cell>
        </row>
        <row r="240">
          <cell r="K240">
            <v>0</v>
          </cell>
        </row>
        <row r="241">
          <cell r="K241">
            <v>0</v>
          </cell>
        </row>
        <row r="242">
          <cell r="K242">
            <v>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4736567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469389.52252252249</v>
          </cell>
        </row>
        <row r="262">
          <cell r="K262">
            <v>4736567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23040003</v>
          </cell>
        </row>
        <row r="270">
          <cell r="D270">
            <v>45024</v>
          </cell>
        </row>
        <row r="272">
          <cell r="D272" t="str">
            <v>KO 1458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1</v>
          </cell>
          <cell r="E276" t="str">
            <v>GEL PEN JOYKO GP-265 Q-GEL</v>
          </cell>
          <cell r="J276">
            <v>0</v>
          </cell>
          <cell r="K276">
            <v>3512592</v>
          </cell>
        </row>
        <row r="277">
          <cell r="D277">
            <v>1</v>
          </cell>
          <cell r="E277" t="str">
            <v>STIP / PENGHAPUS JOYKO 526-B40P PUTIH</v>
          </cell>
          <cell r="J277">
            <v>0</v>
          </cell>
          <cell r="K277">
            <v>1223975</v>
          </cell>
        </row>
        <row r="278">
          <cell r="D278">
            <v>0</v>
          </cell>
          <cell r="E278">
            <v>0</v>
          </cell>
          <cell r="J278">
            <v>0</v>
          </cell>
          <cell r="K278">
            <v>0</v>
          </cell>
        </row>
        <row r="279">
          <cell r="D279">
            <v>0</v>
          </cell>
          <cell r="E279">
            <v>0</v>
          </cell>
          <cell r="J279">
            <v>0</v>
          </cell>
          <cell r="K279">
            <v>0</v>
          </cell>
        </row>
        <row r="280">
          <cell r="D280">
            <v>0</v>
          </cell>
          <cell r="E280">
            <v>0</v>
          </cell>
          <cell r="J280">
            <v>0</v>
          </cell>
          <cell r="K280">
            <v>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4736567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469389.52252252249</v>
          </cell>
        </row>
        <row r="300">
          <cell r="K300">
            <v>4736567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23040003</v>
          </cell>
        </row>
        <row r="308">
          <cell r="D308">
            <v>45024</v>
          </cell>
        </row>
        <row r="310">
          <cell r="D310" t="str">
            <v>KO 1458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1</v>
          </cell>
          <cell r="E314" t="str">
            <v>GEL PEN JOYKO GP-265 Q-GEL</v>
          </cell>
          <cell r="J314">
            <v>0</v>
          </cell>
          <cell r="K314">
            <v>3512592</v>
          </cell>
        </row>
        <row r="315">
          <cell r="D315">
            <v>1</v>
          </cell>
          <cell r="E315" t="str">
            <v>STIP / PENGHAPUS JOYKO 526-B40P PUTIH</v>
          </cell>
          <cell r="J315">
            <v>0</v>
          </cell>
          <cell r="K315">
            <v>1223975</v>
          </cell>
        </row>
        <row r="316">
          <cell r="D316">
            <v>0</v>
          </cell>
          <cell r="E316">
            <v>0</v>
          </cell>
          <cell r="J316">
            <v>0</v>
          </cell>
          <cell r="K316">
            <v>0</v>
          </cell>
        </row>
        <row r="317">
          <cell r="D317">
            <v>0</v>
          </cell>
          <cell r="E317">
            <v>0</v>
          </cell>
          <cell r="J317">
            <v>0</v>
          </cell>
          <cell r="K317">
            <v>0</v>
          </cell>
        </row>
        <row r="318">
          <cell r="D318">
            <v>0</v>
          </cell>
          <cell r="E318">
            <v>0</v>
          </cell>
          <cell r="J318">
            <v>0</v>
          </cell>
          <cell r="K318">
            <v>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4736567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469389.52252252249</v>
          </cell>
        </row>
        <row r="338">
          <cell r="K338">
            <v>4736567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23040004</v>
          </cell>
        </row>
        <row r="346">
          <cell r="D346">
            <v>45024</v>
          </cell>
        </row>
        <row r="348">
          <cell r="D348" t="str">
            <v>G 1459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5</v>
          </cell>
          <cell r="E352" t="str">
            <v>CRAYON / OIL PASTEL JOYKO OP-24S PP CASE SEA WORLD</v>
          </cell>
          <cell r="J352">
            <v>0.03</v>
          </cell>
          <cell r="K352">
            <v>6029520</v>
          </cell>
        </row>
        <row r="353">
          <cell r="D353">
            <v>1</v>
          </cell>
          <cell r="E353" t="str">
            <v>CORRECTION TAPE JOYKO CT-522</v>
          </cell>
          <cell r="K353">
            <v>3024000</v>
          </cell>
        </row>
        <row r="354">
          <cell r="D354">
            <v>1</v>
          </cell>
          <cell r="E354" t="str">
            <v>CALCULATOR JOYKO CC-800CH</v>
          </cell>
          <cell r="J354">
            <v>0.05</v>
          </cell>
          <cell r="K354">
            <v>3940125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12993645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1287658.5135135134</v>
          </cell>
        </row>
        <row r="376">
          <cell r="K376">
            <v>12993645</v>
          </cell>
        </row>
        <row r="378">
          <cell r="J378" t="str">
            <v>NOVI / CONDRO</v>
          </cell>
        </row>
        <row r="382">
          <cell r="D382" t="str">
            <v>AM</v>
          </cell>
          <cell r="E382">
            <v>23040004</v>
          </cell>
        </row>
        <row r="384">
          <cell r="D384">
            <v>45024</v>
          </cell>
        </row>
        <row r="386">
          <cell r="D386" t="str">
            <v>G 1459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5</v>
          </cell>
          <cell r="E390" t="str">
            <v>CRAYON / OIL PASTEL JOYKO OP-24S PP CASE SEA WORLD</v>
          </cell>
          <cell r="J390">
            <v>0.03</v>
          </cell>
          <cell r="K390">
            <v>6029520</v>
          </cell>
        </row>
        <row r="391">
          <cell r="D391">
            <v>1</v>
          </cell>
          <cell r="E391" t="str">
            <v>CORRECTION TAPE JOYKO CT-522</v>
          </cell>
          <cell r="J391">
            <v>0</v>
          </cell>
          <cell r="K391">
            <v>3024000</v>
          </cell>
        </row>
        <row r="392">
          <cell r="D392">
            <v>1</v>
          </cell>
          <cell r="E392" t="str">
            <v>CALCULATOR JOYKO CC-800CH</v>
          </cell>
          <cell r="J392">
            <v>0.05</v>
          </cell>
          <cell r="K392">
            <v>3940125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12993645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1287658.5135135134</v>
          </cell>
        </row>
        <row r="414">
          <cell r="K414">
            <v>12993645</v>
          </cell>
        </row>
        <row r="416">
          <cell r="J416" t="str">
            <v>NOVI / CONDRO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23040004</v>
          </cell>
        </row>
        <row r="422">
          <cell r="D422">
            <v>45024</v>
          </cell>
        </row>
        <row r="424">
          <cell r="D424" t="str">
            <v>G 1459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5</v>
          </cell>
          <cell r="E428" t="str">
            <v>CRAYON / OIL PASTEL JOYKO OP-24S PP CASE SEA WORLD</v>
          </cell>
          <cell r="J428">
            <v>0.03</v>
          </cell>
          <cell r="K428">
            <v>6029520</v>
          </cell>
        </row>
        <row r="429">
          <cell r="D429">
            <v>1</v>
          </cell>
          <cell r="E429" t="str">
            <v>CORRECTION TAPE JOYKO CT-522</v>
          </cell>
          <cell r="J429">
            <v>0</v>
          </cell>
          <cell r="K429">
            <v>3024000</v>
          </cell>
        </row>
        <row r="430">
          <cell r="D430">
            <v>1</v>
          </cell>
          <cell r="E430" t="str">
            <v>CALCULATOR JOYKO CC-800CH</v>
          </cell>
          <cell r="J430">
            <v>0.05</v>
          </cell>
          <cell r="K430">
            <v>3940125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12993645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1287658.5135135134</v>
          </cell>
        </row>
        <row r="452">
          <cell r="K452">
            <v>12993645</v>
          </cell>
        </row>
        <row r="454">
          <cell r="J454" t="str">
            <v>NOVI / CONDRO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23040005</v>
          </cell>
        </row>
        <row r="460">
          <cell r="D460">
            <v>45027</v>
          </cell>
        </row>
        <row r="462">
          <cell r="D462" t="str">
            <v xml:space="preserve">KO 1467 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2</v>
          </cell>
          <cell r="E466" t="str">
            <v>PENSIL KENKO 2B-6191 HIJAU CAP HITAM</v>
          </cell>
          <cell r="K466">
            <v>3819840</v>
          </cell>
        </row>
        <row r="467">
          <cell r="K467">
            <v>0</v>
          </cell>
        </row>
        <row r="468">
          <cell r="K468">
            <v>0</v>
          </cell>
        </row>
        <row r="469">
          <cell r="K469">
            <v>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3819840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378542.70270270266</v>
          </cell>
        </row>
        <row r="490">
          <cell r="K490">
            <v>3819840</v>
          </cell>
        </row>
        <row r="492">
          <cell r="J492" t="str">
            <v>NOVI / CONDRO</v>
          </cell>
        </row>
        <row r="496">
          <cell r="D496" t="str">
            <v>AM</v>
          </cell>
          <cell r="E496">
            <v>23040005</v>
          </cell>
        </row>
        <row r="498">
          <cell r="D498">
            <v>45027</v>
          </cell>
        </row>
        <row r="500">
          <cell r="D500" t="str">
            <v xml:space="preserve">KO 1467 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2</v>
          </cell>
          <cell r="E504" t="str">
            <v>PENSIL KENKO 2B-6191 HIJAU CAP HITAM</v>
          </cell>
          <cell r="J504">
            <v>0</v>
          </cell>
          <cell r="K504">
            <v>3819840</v>
          </cell>
        </row>
        <row r="505">
          <cell r="D505">
            <v>0</v>
          </cell>
          <cell r="E505">
            <v>0</v>
          </cell>
          <cell r="J505">
            <v>0</v>
          </cell>
          <cell r="K505">
            <v>0</v>
          </cell>
        </row>
        <row r="506">
          <cell r="D506">
            <v>0</v>
          </cell>
          <cell r="E506">
            <v>0</v>
          </cell>
          <cell r="J506">
            <v>0</v>
          </cell>
          <cell r="K506">
            <v>0</v>
          </cell>
        </row>
        <row r="507">
          <cell r="D507">
            <v>0</v>
          </cell>
          <cell r="E507">
            <v>0</v>
          </cell>
          <cell r="J507">
            <v>0</v>
          </cell>
          <cell r="K507">
            <v>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3819840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378542.70270270266</v>
          </cell>
        </row>
        <row r="528">
          <cell r="K528">
            <v>3819840</v>
          </cell>
        </row>
        <row r="530">
          <cell r="J530" t="str">
            <v>NOVI / CONDRO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23040005</v>
          </cell>
        </row>
        <row r="536">
          <cell r="D536">
            <v>45027</v>
          </cell>
        </row>
        <row r="538">
          <cell r="D538" t="str">
            <v xml:space="preserve">KO 1467 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2</v>
          </cell>
          <cell r="E542" t="str">
            <v>PENSIL KENKO 2B-6191 HIJAU CAP HITAM</v>
          </cell>
          <cell r="J542">
            <v>0</v>
          </cell>
          <cell r="K542">
            <v>3819840</v>
          </cell>
        </row>
        <row r="543">
          <cell r="D543">
            <v>0</v>
          </cell>
          <cell r="E543">
            <v>0</v>
          </cell>
          <cell r="J543">
            <v>0</v>
          </cell>
          <cell r="K543">
            <v>0</v>
          </cell>
        </row>
        <row r="544">
          <cell r="D544">
            <v>0</v>
          </cell>
          <cell r="E544">
            <v>0</v>
          </cell>
          <cell r="J544">
            <v>0</v>
          </cell>
          <cell r="K544">
            <v>0</v>
          </cell>
        </row>
        <row r="545">
          <cell r="D545">
            <v>0</v>
          </cell>
          <cell r="E545">
            <v>0</v>
          </cell>
          <cell r="J545">
            <v>0</v>
          </cell>
          <cell r="K545">
            <v>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3819840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378542.70270270266</v>
          </cell>
        </row>
        <row r="566">
          <cell r="K566">
            <v>3819840</v>
          </cell>
        </row>
        <row r="568">
          <cell r="J568" t="str">
            <v>NOVI / CONDRO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23040006</v>
          </cell>
        </row>
        <row r="574">
          <cell r="D574">
            <v>45028</v>
          </cell>
        </row>
        <row r="576">
          <cell r="D576" t="str">
            <v>G 1474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>
            <v>10</v>
          </cell>
          <cell r="E580" t="str">
            <v>CRAYON / OIL PASTEL JOYKO OP-12S PP CASE SEA WORLD</v>
          </cell>
          <cell r="J580">
            <v>0.03</v>
          </cell>
          <cell r="K580">
            <v>14544180</v>
          </cell>
        </row>
        <row r="581">
          <cell r="K581">
            <v>0</v>
          </cell>
        </row>
        <row r="582">
          <cell r="K582">
            <v>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14544180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1441315.1351351349</v>
          </cell>
        </row>
        <row r="604">
          <cell r="K604">
            <v>14544180</v>
          </cell>
        </row>
        <row r="606">
          <cell r="J606" t="str">
            <v>NOVI / CONDRO</v>
          </cell>
        </row>
        <row r="610">
          <cell r="D610" t="str">
            <v>AM</v>
          </cell>
          <cell r="E610">
            <v>23040006</v>
          </cell>
        </row>
        <row r="612">
          <cell r="D612">
            <v>45028</v>
          </cell>
        </row>
        <row r="614">
          <cell r="D614" t="str">
            <v>G 1474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>
            <v>10</v>
          </cell>
          <cell r="E618" t="str">
            <v>CRAYON / OIL PASTEL JOYKO OP-12S PP CASE SEA WORLD</v>
          </cell>
          <cell r="J618">
            <v>0.03</v>
          </cell>
          <cell r="K618">
            <v>14544180</v>
          </cell>
        </row>
        <row r="619">
          <cell r="D619">
            <v>0</v>
          </cell>
          <cell r="E619">
            <v>0</v>
          </cell>
          <cell r="J619">
            <v>0</v>
          </cell>
          <cell r="K619">
            <v>0</v>
          </cell>
        </row>
        <row r="620">
          <cell r="D620">
            <v>0</v>
          </cell>
          <cell r="E620">
            <v>0</v>
          </cell>
          <cell r="J620">
            <v>0</v>
          </cell>
          <cell r="K620">
            <v>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14544180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1441315.1351351349</v>
          </cell>
        </row>
        <row r="642">
          <cell r="K642">
            <v>14544180</v>
          </cell>
        </row>
        <row r="644">
          <cell r="J644" t="str">
            <v>NOVI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23040006</v>
          </cell>
        </row>
        <row r="650">
          <cell r="D650">
            <v>45028</v>
          </cell>
        </row>
        <row r="652">
          <cell r="D652" t="str">
            <v>G 1474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>
            <v>10</v>
          </cell>
          <cell r="E656" t="str">
            <v>CRAYON / OIL PASTEL JOYKO OP-12S PP CASE SEA WORLD</v>
          </cell>
          <cell r="J656">
            <v>0.03</v>
          </cell>
          <cell r="K656">
            <v>14544180</v>
          </cell>
        </row>
        <row r="657">
          <cell r="D657">
            <v>0</v>
          </cell>
          <cell r="E657">
            <v>0</v>
          </cell>
          <cell r="J657">
            <v>0</v>
          </cell>
          <cell r="K657">
            <v>0</v>
          </cell>
        </row>
        <row r="658">
          <cell r="D658">
            <v>0</v>
          </cell>
          <cell r="E658">
            <v>0</v>
          </cell>
          <cell r="J658">
            <v>0</v>
          </cell>
          <cell r="K658">
            <v>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14544180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1441315.1351351349</v>
          </cell>
        </row>
        <row r="680">
          <cell r="K680">
            <v>14544180</v>
          </cell>
        </row>
        <row r="682">
          <cell r="J682" t="str">
            <v>NOVI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23040007</v>
          </cell>
        </row>
        <row r="688">
          <cell r="D688">
            <v>45028</v>
          </cell>
        </row>
        <row r="690">
          <cell r="D690" t="str">
            <v>KO 1027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>
            <v>1</v>
          </cell>
          <cell r="E694" t="str">
            <v>CORRECTION TAPE JOYKO CT-507</v>
          </cell>
          <cell r="K694">
            <v>2898000</v>
          </cell>
        </row>
        <row r="695">
          <cell r="D695">
            <v>1</v>
          </cell>
          <cell r="E695" t="str">
            <v>CORRECTION TAPE JOYKO CT-508</v>
          </cell>
          <cell r="K695">
            <v>2835000</v>
          </cell>
        </row>
        <row r="696">
          <cell r="D696">
            <v>1</v>
          </cell>
          <cell r="E696" t="str">
            <v>PENSIL WARNA JOYKO CP-24PB (PANJANG)</v>
          </cell>
          <cell r="K696">
            <v>1335600</v>
          </cell>
        </row>
        <row r="697">
          <cell r="D697">
            <v>1</v>
          </cell>
          <cell r="E697" t="str">
            <v>PENSIL WARNA JOYKO CP-S12 MINI (PENDEK)</v>
          </cell>
          <cell r="K697">
            <v>1688400</v>
          </cell>
        </row>
        <row r="698">
          <cell r="D698">
            <v>3</v>
          </cell>
          <cell r="E698" t="str">
            <v>PENSIL WARNA JOYKO CP-12PB (PANJANG)</v>
          </cell>
          <cell r="K698">
            <v>4006800</v>
          </cell>
        </row>
        <row r="699">
          <cell r="D699">
            <v>2</v>
          </cell>
          <cell r="E699" t="str">
            <v>STAPLER JOYKO HD-50</v>
          </cell>
          <cell r="K699">
            <v>3927000</v>
          </cell>
        </row>
        <row r="700">
          <cell r="D700">
            <v>2</v>
          </cell>
          <cell r="E700" t="str">
            <v>STIP / PENGHAPUS JOYKO 526-B20 PUTIH</v>
          </cell>
          <cell r="K700">
            <v>2983750</v>
          </cell>
        </row>
        <row r="701">
          <cell r="K701">
            <v>0</v>
          </cell>
        </row>
        <row r="702">
          <cell r="K702">
            <v>0</v>
          </cell>
        </row>
        <row r="703">
          <cell r="K703">
            <v>0</v>
          </cell>
        </row>
        <row r="704">
          <cell r="K704">
            <v>0</v>
          </cell>
        </row>
        <row r="705">
          <cell r="K705">
            <v>0</v>
          </cell>
        </row>
        <row r="706">
          <cell r="K706">
            <v>0</v>
          </cell>
        </row>
        <row r="707">
          <cell r="K707">
            <v>0</v>
          </cell>
        </row>
        <row r="708">
          <cell r="K708">
            <v>0</v>
          </cell>
        </row>
        <row r="709">
          <cell r="K709">
            <v>0</v>
          </cell>
        </row>
        <row r="712">
          <cell r="J712">
            <v>19674550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1949730.1801801801</v>
          </cell>
        </row>
        <row r="718">
          <cell r="K718">
            <v>19674550</v>
          </cell>
        </row>
        <row r="720">
          <cell r="J720" t="str">
            <v>NOVI / CONDRO</v>
          </cell>
        </row>
        <row r="724">
          <cell r="D724" t="str">
            <v>AM</v>
          </cell>
          <cell r="E724">
            <v>23040007</v>
          </cell>
        </row>
        <row r="726">
          <cell r="D726">
            <v>45028</v>
          </cell>
        </row>
        <row r="728">
          <cell r="D728" t="str">
            <v>KO 1027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>
            <v>1</v>
          </cell>
          <cell r="E732" t="str">
            <v>CORRECTION TAPE JOYKO CT-507</v>
          </cell>
          <cell r="J732">
            <v>0</v>
          </cell>
          <cell r="K732">
            <v>2898000</v>
          </cell>
        </row>
        <row r="733">
          <cell r="D733">
            <v>1</v>
          </cell>
          <cell r="E733" t="str">
            <v>CORRECTION TAPE JOYKO CT-508</v>
          </cell>
          <cell r="J733">
            <v>0</v>
          </cell>
          <cell r="K733">
            <v>2835000</v>
          </cell>
        </row>
        <row r="734">
          <cell r="D734">
            <v>1</v>
          </cell>
          <cell r="E734" t="str">
            <v>PENSIL WARNA JOYKO CP-24PB (PANJANG)</v>
          </cell>
          <cell r="J734">
            <v>0</v>
          </cell>
          <cell r="K734">
            <v>1335600</v>
          </cell>
        </row>
        <row r="735">
          <cell r="D735">
            <v>1</v>
          </cell>
          <cell r="E735" t="str">
            <v>PENSIL WARNA JOYKO CP-S12 MINI (PENDEK)</v>
          </cell>
          <cell r="J735">
            <v>0</v>
          </cell>
          <cell r="K735">
            <v>1688400</v>
          </cell>
        </row>
        <row r="736">
          <cell r="D736">
            <v>3</v>
          </cell>
          <cell r="E736" t="str">
            <v>PENSIL WARNA JOYKO CP-12PB (PANJANG)</v>
          </cell>
          <cell r="J736">
            <v>0</v>
          </cell>
          <cell r="K736">
            <v>4006800</v>
          </cell>
        </row>
        <row r="737">
          <cell r="D737">
            <v>2</v>
          </cell>
          <cell r="E737" t="str">
            <v>STAPLER JOYKO HD-50</v>
          </cell>
          <cell r="J737">
            <v>0</v>
          </cell>
          <cell r="K737">
            <v>3927000</v>
          </cell>
        </row>
        <row r="738">
          <cell r="D738">
            <v>2</v>
          </cell>
          <cell r="E738" t="str">
            <v>STIP / PENGHAPUS JOYKO 526-B20 PUTIH</v>
          </cell>
          <cell r="J738">
            <v>0</v>
          </cell>
          <cell r="K738">
            <v>2983750</v>
          </cell>
        </row>
        <row r="739">
          <cell r="D739">
            <v>0</v>
          </cell>
          <cell r="E739">
            <v>0</v>
          </cell>
          <cell r="J739">
            <v>0</v>
          </cell>
          <cell r="K739">
            <v>0</v>
          </cell>
        </row>
        <row r="740">
          <cell r="D740">
            <v>0</v>
          </cell>
          <cell r="E740">
            <v>0</v>
          </cell>
          <cell r="J740">
            <v>0</v>
          </cell>
          <cell r="K740">
            <v>0</v>
          </cell>
        </row>
        <row r="741">
          <cell r="D741">
            <v>0</v>
          </cell>
          <cell r="E741">
            <v>0</v>
          </cell>
          <cell r="J741">
            <v>0</v>
          </cell>
          <cell r="K741">
            <v>0</v>
          </cell>
        </row>
        <row r="742">
          <cell r="D742">
            <v>0</v>
          </cell>
          <cell r="E742">
            <v>0</v>
          </cell>
          <cell r="J742">
            <v>0</v>
          </cell>
          <cell r="K742">
            <v>0</v>
          </cell>
        </row>
        <row r="743">
          <cell r="D743">
            <v>0</v>
          </cell>
          <cell r="E743">
            <v>0</v>
          </cell>
          <cell r="J743">
            <v>0</v>
          </cell>
          <cell r="K743">
            <v>0</v>
          </cell>
        </row>
        <row r="744">
          <cell r="D744">
            <v>0</v>
          </cell>
          <cell r="E744">
            <v>0</v>
          </cell>
          <cell r="J744">
            <v>0</v>
          </cell>
          <cell r="K744">
            <v>0</v>
          </cell>
        </row>
        <row r="745">
          <cell r="D745">
            <v>0</v>
          </cell>
          <cell r="E745">
            <v>0</v>
          </cell>
          <cell r="J745">
            <v>0</v>
          </cell>
          <cell r="K745">
            <v>0</v>
          </cell>
        </row>
        <row r="746">
          <cell r="D746">
            <v>0</v>
          </cell>
          <cell r="E746">
            <v>0</v>
          </cell>
          <cell r="J746">
            <v>0</v>
          </cell>
          <cell r="K746">
            <v>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19674550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1949730.1801801801</v>
          </cell>
        </row>
        <row r="756">
          <cell r="K756">
            <v>19674550</v>
          </cell>
        </row>
        <row r="758">
          <cell r="J758" t="str">
            <v>NOVI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23040007</v>
          </cell>
        </row>
        <row r="764">
          <cell r="D764">
            <v>45028</v>
          </cell>
        </row>
        <row r="766">
          <cell r="D766" t="str">
            <v>KO 1027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>
            <v>1</v>
          </cell>
          <cell r="E770" t="str">
            <v>CORRECTION TAPE JOYKO CT-507</v>
          </cell>
          <cell r="J770">
            <v>0</v>
          </cell>
          <cell r="K770">
            <v>2898000</v>
          </cell>
        </row>
        <row r="771">
          <cell r="D771">
            <v>1</v>
          </cell>
          <cell r="E771" t="str">
            <v>CORRECTION TAPE JOYKO CT-508</v>
          </cell>
          <cell r="J771">
            <v>0</v>
          </cell>
          <cell r="K771">
            <v>2835000</v>
          </cell>
        </row>
        <row r="772">
          <cell r="D772">
            <v>1</v>
          </cell>
          <cell r="E772" t="str">
            <v>PENSIL WARNA JOYKO CP-24PB (PANJANG)</v>
          </cell>
          <cell r="J772">
            <v>0</v>
          </cell>
          <cell r="K772">
            <v>1335600</v>
          </cell>
        </row>
        <row r="773">
          <cell r="D773">
            <v>1</v>
          </cell>
          <cell r="E773" t="str">
            <v>PENSIL WARNA JOYKO CP-S12 MINI (PENDEK)</v>
          </cell>
          <cell r="J773">
            <v>0</v>
          </cell>
          <cell r="K773">
            <v>1688400</v>
          </cell>
        </row>
        <row r="774">
          <cell r="D774">
            <v>3</v>
          </cell>
          <cell r="E774" t="str">
            <v>PENSIL WARNA JOYKO CP-12PB (PANJANG)</v>
          </cell>
          <cell r="J774">
            <v>0</v>
          </cell>
          <cell r="K774">
            <v>4006800</v>
          </cell>
        </row>
        <row r="775">
          <cell r="D775">
            <v>2</v>
          </cell>
          <cell r="E775" t="str">
            <v>STAPLER JOYKO HD-50</v>
          </cell>
          <cell r="J775">
            <v>0</v>
          </cell>
          <cell r="K775">
            <v>3927000</v>
          </cell>
        </row>
        <row r="776">
          <cell r="D776">
            <v>2</v>
          </cell>
          <cell r="E776" t="str">
            <v>STIP / PENGHAPUS JOYKO 526-B20 PUTIH</v>
          </cell>
          <cell r="J776">
            <v>0</v>
          </cell>
          <cell r="K776">
            <v>2983750</v>
          </cell>
        </row>
        <row r="777">
          <cell r="D777">
            <v>0</v>
          </cell>
          <cell r="E777">
            <v>0</v>
          </cell>
          <cell r="J777">
            <v>0</v>
          </cell>
          <cell r="K777">
            <v>0</v>
          </cell>
        </row>
        <row r="778">
          <cell r="D778">
            <v>0</v>
          </cell>
          <cell r="E778">
            <v>0</v>
          </cell>
          <cell r="J778">
            <v>0</v>
          </cell>
          <cell r="K778">
            <v>0</v>
          </cell>
        </row>
        <row r="779">
          <cell r="D779">
            <v>0</v>
          </cell>
          <cell r="E779">
            <v>0</v>
          </cell>
          <cell r="J779">
            <v>0</v>
          </cell>
          <cell r="K779">
            <v>0</v>
          </cell>
        </row>
        <row r="780">
          <cell r="D780">
            <v>0</v>
          </cell>
          <cell r="E780">
            <v>0</v>
          </cell>
          <cell r="J780">
            <v>0</v>
          </cell>
          <cell r="K780">
            <v>0</v>
          </cell>
        </row>
        <row r="781">
          <cell r="D781">
            <v>0</v>
          </cell>
          <cell r="E781">
            <v>0</v>
          </cell>
          <cell r="J781">
            <v>0</v>
          </cell>
          <cell r="K781">
            <v>0</v>
          </cell>
        </row>
        <row r="782">
          <cell r="D782">
            <v>0</v>
          </cell>
          <cell r="E782">
            <v>0</v>
          </cell>
          <cell r="J782">
            <v>0</v>
          </cell>
          <cell r="K782">
            <v>0</v>
          </cell>
        </row>
        <row r="783">
          <cell r="D783">
            <v>0</v>
          </cell>
          <cell r="E783">
            <v>0</v>
          </cell>
          <cell r="J783">
            <v>0</v>
          </cell>
          <cell r="K783">
            <v>0</v>
          </cell>
        </row>
        <row r="784">
          <cell r="D784">
            <v>0</v>
          </cell>
          <cell r="E784">
            <v>0</v>
          </cell>
          <cell r="J784">
            <v>0</v>
          </cell>
          <cell r="K784">
            <v>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19674550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1949730.1801801801</v>
          </cell>
        </row>
        <row r="794">
          <cell r="K794">
            <v>19674550</v>
          </cell>
        </row>
        <row r="796">
          <cell r="J796" t="str">
            <v>NOVI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23040008</v>
          </cell>
        </row>
        <row r="802">
          <cell r="D802">
            <v>45028</v>
          </cell>
        </row>
        <row r="804">
          <cell r="D804" t="str">
            <v>KO 1482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1</v>
          </cell>
          <cell r="E808" t="str">
            <v>STIP / PENGHAPUS JOYKO 526-B20 PUTIH</v>
          </cell>
          <cell r="K808">
            <v>1474825</v>
          </cell>
        </row>
        <row r="809">
          <cell r="D809">
            <v>1</v>
          </cell>
          <cell r="E809" t="str">
            <v>BALLPEN JOYKO BP-338 VOCUS HITAM</v>
          </cell>
          <cell r="K809">
            <v>1569456</v>
          </cell>
        </row>
        <row r="810">
          <cell r="D810">
            <v>1</v>
          </cell>
          <cell r="E810" t="str">
            <v>STIP / PENGHAPUS JOYKO 526-B40P PUTIH</v>
          </cell>
          <cell r="K810">
            <v>1223975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4268256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422980.32432432426</v>
          </cell>
        </row>
        <row r="832">
          <cell r="K832">
            <v>4268256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23040008</v>
          </cell>
        </row>
        <row r="840">
          <cell r="D840">
            <v>45028</v>
          </cell>
        </row>
        <row r="842">
          <cell r="D842" t="str">
            <v>KO 1482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1</v>
          </cell>
          <cell r="E846" t="str">
            <v>STIP / PENGHAPUS JOYKO 526-B20 PUTIH</v>
          </cell>
          <cell r="J846">
            <v>0</v>
          </cell>
          <cell r="K846">
            <v>1474825</v>
          </cell>
        </row>
        <row r="847">
          <cell r="D847">
            <v>1</v>
          </cell>
          <cell r="E847" t="str">
            <v>BALLPEN JOYKO BP-338 VOCUS HITAM</v>
          </cell>
          <cell r="J847">
            <v>0</v>
          </cell>
          <cell r="K847">
            <v>1569456</v>
          </cell>
        </row>
        <row r="848">
          <cell r="D848">
            <v>1</v>
          </cell>
          <cell r="E848" t="str">
            <v>STIP / PENGHAPUS JOYKO 526-B40P PUTIH</v>
          </cell>
          <cell r="J848">
            <v>0</v>
          </cell>
          <cell r="K848">
            <v>1223975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4268256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422980.32432432426</v>
          </cell>
        </row>
        <row r="870">
          <cell r="K870">
            <v>4268256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23040008</v>
          </cell>
        </row>
        <row r="878">
          <cell r="D878">
            <v>45028</v>
          </cell>
        </row>
        <row r="880">
          <cell r="D880" t="str">
            <v>KO 1482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1</v>
          </cell>
          <cell r="E884" t="str">
            <v>STIP / PENGHAPUS JOYKO 526-B20 PUTIH</v>
          </cell>
          <cell r="J884">
            <v>0</v>
          </cell>
          <cell r="K884">
            <v>1474825</v>
          </cell>
        </row>
        <row r="885">
          <cell r="D885">
            <v>1</v>
          </cell>
          <cell r="E885" t="str">
            <v>BALLPEN JOYKO BP-338 VOCUS HITAM</v>
          </cell>
          <cell r="J885">
            <v>0</v>
          </cell>
          <cell r="K885">
            <v>1569456</v>
          </cell>
        </row>
        <row r="886">
          <cell r="D886">
            <v>1</v>
          </cell>
          <cell r="E886" t="str">
            <v>STIP / PENGHAPUS JOYKO 526-B40P PUTIH</v>
          </cell>
          <cell r="J886">
            <v>0</v>
          </cell>
          <cell r="K886">
            <v>1223975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4268256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422980.32432432426</v>
          </cell>
        </row>
        <row r="908">
          <cell r="K908">
            <v>4268256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23040009</v>
          </cell>
        </row>
        <row r="916">
          <cell r="D916">
            <v>45030</v>
          </cell>
        </row>
        <row r="918">
          <cell r="D918" t="str">
            <v>KO 4010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>
            <v>1</v>
          </cell>
          <cell r="E922" t="str">
            <v>PENCIL CASE 22 x 7.5 MAGNET C-1758</v>
          </cell>
          <cell r="K922">
            <v>1800000</v>
          </cell>
        </row>
        <row r="923">
          <cell r="K923">
            <v>0</v>
          </cell>
        </row>
        <row r="924">
          <cell r="K924">
            <v>0</v>
          </cell>
        </row>
        <row r="925">
          <cell r="K925">
            <v>0</v>
          </cell>
        </row>
        <row r="926">
          <cell r="K926">
            <v>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1800000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178378.37837837837</v>
          </cell>
        </row>
        <row r="946">
          <cell r="K946">
            <v>1800000</v>
          </cell>
        </row>
        <row r="948">
          <cell r="J948" t="str">
            <v>NOVI / YO</v>
          </cell>
        </row>
        <row r="952">
          <cell r="D952" t="str">
            <v>AM</v>
          </cell>
          <cell r="E952">
            <v>23040009</v>
          </cell>
        </row>
        <row r="954">
          <cell r="D954">
            <v>45030</v>
          </cell>
        </row>
        <row r="956">
          <cell r="D956" t="str">
            <v>KO 4010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>
            <v>1</v>
          </cell>
          <cell r="E960" t="str">
            <v>PENCIL CASE 22 x 7.5 MAGNET C-1758</v>
          </cell>
          <cell r="J960">
            <v>0</v>
          </cell>
          <cell r="K960">
            <v>1800000</v>
          </cell>
        </row>
        <row r="961">
          <cell r="D961">
            <v>0</v>
          </cell>
          <cell r="E961">
            <v>0</v>
          </cell>
          <cell r="J961">
            <v>0</v>
          </cell>
          <cell r="K961">
            <v>0</v>
          </cell>
        </row>
        <row r="962">
          <cell r="D962">
            <v>0</v>
          </cell>
          <cell r="E962">
            <v>0</v>
          </cell>
          <cell r="J962">
            <v>0</v>
          </cell>
          <cell r="K962">
            <v>0</v>
          </cell>
        </row>
        <row r="963">
          <cell r="D963">
            <v>0</v>
          </cell>
          <cell r="E963">
            <v>0</v>
          </cell>
          <cell r="J963">
            <v>0</v>
          </cell>
          <cell r="K963">
            <v>0</v>
          </cell>
        </row>
        <row r="964">
          <cell r="D964">
            <v>0</v>
          </cell>
          <cell r="E964">
            <v>0</v>
          </cell>
          <cell r="J964">
            <v>0</v>
          </cell>
          <cell r="K964">
            <v>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1800000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178378.37837837837</v>
          </cell>
        </row>
        <row r="984">
          <cell r="K984">
            <v>1800000</v>
          </cell>
        </row>
        <row r="986">
          <cell r="J986" t="str">
            <v>NOVI / YO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23040009</v>
          </cell>
        </row>
        <row r="992">
          <cell r="D992">
            <v>45030</v>
          </cell>
        </row>
        <row r="994">
          <cell r="D994" t="str">
            <v>KO 4010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>
            <v>1</v>
          </cell>
          <cell r="E998" t="str">
            <v>PENCIL CASE 22 x 7.5 MAGNET C-1758</v>
          </cell>
          <cell r="J998">
            <v>0</v>
          </cell>
          <cell r="K998">
            <v>1800000</v>
          </cell>
        </row>
        <row r="999">
          <cell r="D999">
            <v>0</v>
          </cell>
          <cell r="E999">
            <v>0</v>
          </cell>
          <cell r="J999">
            <v>0</v>
          </cell>
          <cell r="K999">
            <v>0</v>
          </cell>
        </row>
        <row r="1000">
          <cell r="D1000">
            <v>0</v>
          </cell>
          <cell r="E1000">
            <v>0</v>
          </cell>
          <cell r="J1000">
            <v>0</v>
          </cell>
          <cell r="K1000">
            <v>0</v>
          </cell>
        </row>
        <row r="1001">
          <cell r="D1001">
            <v>0</v>
          </cell>
          <cell r="E1001">
            <v>0</v>
          </cell>
          <cell r="J1001">
            <v>0</v>
          </cell>
          <cell r="K1001">
            <v>0</v>
          </cell>
        </row>
        <row r="1002">
          <cell r="D1002">
            <v>0</v>
          </cell>
          <cell r="E1002">
            <v>0</v>
          </cell>
          <cell r="J1002">
            <v>0</v>
          </cell>
          <cell r="K1002">
            <v>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1800000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178378.37837837837</v>
          </cell>
        </row>
        <row r="1022">
          <cell r="K1022">
            <v>1800000</v>
          </cell>
        </row>
        <row r="1024">
          <cell r="J1024" t="str">
            <v>NOVI / YO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23040010</v>
          </cell>
        </row>
        <row r="1030">
          <cell r="D1030">
            <v>45030</v>
          </cell>
        </row>
        <row r="1032">
          <cell r="D1032" t="str">
            <v>G 2944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E1036" t="str">
            <v>PENSIL WARNA KAYAGI KY-CP1224 TWIN</v>
          </cell>
          <cell r="K1036">
            <v>298000</v>
          </cell>
        </row>
        <row r="1037">
          <cell r="E1037" t="str">
            <v>HIGHLIGHTER / STABILLO TIZO TF-616 (isi 24 pc)</v>
          </cell>
          <cell r="K1037">
            <v>114000</v>
          </cell>
        </row>
        <row r="1038">
          <cell r="E1038" t="str">
            <v>HIGHLIGHTER / STABILLO TIZO TF-610 (isi 54 pc)</v>
          </cell>
          <cell r="K1038">
            <v>244000</v>
          </cell>
        </row>
        <row r="1039">
          <cell r="E1039" t="str">
            <v>GEL PEN TIZO TG30801-EL</v>
          </cell>
          <cell r="K1039">
            <v>129500</v>
          </cell>
        </row>
        <row r="1040">
          <cell r="E1040" t="str">
            <v>GEL PEN TIZO TG31590-EL</v>
          </cell>
          <cell r="K1040">
            <v>222000</v>
          </cell>
        </row>
        <row r="1041">
          <cell r="E1041" t="str">
            <v>GEL PEN TIZO TG31762-EL</v>
          </cell>
          <cell r="K1041">
            <v>37000</v>
          </cell>
        </row>
        <row r="1042">
          <cell r="E1042" t="str">
            <v>COLOR BRUSH PEN KENKO DBP-12 DUAL TIP  (12 WARNA)</v>
          </cell>
          <cell r="K1042">
            <v>270000</v>
          </cell>
        </row>
        <row r="1043">
          <cell r="E1043" t="str">
            <v>TAPE DISPENSER POLAR BEAR MN-305 @12pc</v>
          </cell>
          <cell r="K1043">
            <v>210000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1524500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151076.57657657654</v>
          </cell>
        </row>
        <row r="1060">
          <cell r="K1060">
            <v>1524500</v>
          </cell>
        </row>
        <row r="1062">
          <cell r="J1062" t="str">
            <v>RISMA / YO</v>
          </cell>
        </row>
        <row r="1066">
          <cell r="D1066" t="str">
            <v>AM</v>
          </cell>
          <cell r="E1066">
            <v>23040010</v>
          </cell>
        </row>
        <row r="1068">
          <cell r="D1068">
            <v>45030</v>
          </cell>
        </row>
        <row r="1070">
          <cell r="D1070" t="str">
            <v>G 2944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>
            <v>0</v>
          </cell>
          <cell r="E1074" t="str">
            <v>PENSIL WARNA KAYAGI KY-CP1224 TWIN</v>
          </cell>
          <cell r="J1074">
            <v>0</v>
          </cell>
          <cell r="K1074">
            <v>298000</v>
          </cell>
        </row>
        <row r="1075">
          <cell r="D1075">
            <v>0</v>
          </cell>
          <cell r="E1075" t="str">
            <v>HIGHLIGHTER / STABILLO TIZO TF-616 (isi 24 pc)</v>
          </cell>
          <cell r="J1075">
            <v>0</v>
          </cell>
          <cell r="K1075">
            <v>114000</v>
          </cell>
        </row>
        <row r="1076">
          <cell r="D1076">
            <v>0</v>
          </cell>
          <cell r="E1076" t="str">
            <v>HIGHLIGHTER / STABILLO TIZO TF-610 (isi 54 pc)</v>
          </cell>
          <cell r="J1076">
            <v>0</v>
          </cell>
          <cell r="K1076">
            <v>244000</v>
          </cell>
        </row>
        <row r="1077">
          <cell r="D1077">
            <v>0</v>
          </cell>
          <cell r="E1077" t="str">
            <v>GEL PEN TIZO TG30801-EL</v>
          </cell>
          <cell r="J1077">
            <v>0</v>
          </cell>
          <cell r="K1077">
            <v>129500</v>
          </cell>
        </row>
        <row r="1078">
          <cell r="D1078">
            <v>0</v>
          </cell>
          <cell r="E1078" t="str">
            <v>GEL PEN TIZO TG31590-EL</v>
          </cell>
          <cell r="J1078">
            <v>0</v>
          </cell>
          <cell r="K1078">
            <v>222000</v>
          </cell>
        </row>
        <row r="1079">
          <cell r="D1079">
            <v>0</v>
          </cell>
          <cell r="E1079" t="str">
            <v>GEL PEN TIZO TG31762-EL</v>
          </cell>
          <cell r="J1079">
            <v>0</v>
          </cell>
          <cell r="K1079">
            <v>37000</v>
          </cell>
        </row>
        <row r="1080">
          <cell r="D1080">
            <v>0</v>
          </cell>
          <cell r="E1080" t="str">
            <v>COLOR BRUSH PEN KENKO DBP-12 DUAL TIP  (12 WARNA)</v>
          </cell>
          <cell r="J1080">
            <v>0</v>
          </cell>
          <cell r="K1080">
            <v>270000</v>
          </cell>
        </row>
        <row r="1081">
          <cell r="D1081">
            <v>0</v>
          </cell>
          <cell r="E1081" t="str">
            <v>TAPE DISPENSER POLAR BEAR MN-305 @12pc</v>
          </cell>
          <cell r="J1081">
            <v>0</v>
          </cell>
          <cell r="K1081">
            <v>210000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1524500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151076.57657657654</v>
          </cell>
        </row>
        <row r="1098">
          <cell r="K1098">
            <v>1524500</v>
          </cell>
        </row>
        <row r="1100">
          <cell r="J1100" t="str">
            <v>RISMA / YO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23040010</v>
          </cell>
        </row>
        <row r="1106">
          <cell r="D1106">
            <v>45030</v>
          </cell>
        </row>
        <row r="1108">
          <cell r="D1108" t="str">
            <v>G 2944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>
            <v>0</v>
          </cell>
          <cell r="E1112" t="str">
            <v>PENSIL WARNA KAYAGI KY-CP1224 TWIN</v>
          </cell>
          <cell r="J1112">
            <v>0</v>
          </cell>
          <cell r="K1112">
            <v>298000</v>
          </cell>
        </row>
        <row r="1113">
          <cell r="D1113">
            <v>0</v>
          </cell>
          <cell r="E1113" t="str">
            <v>HIGHLIGHTER / STABILLO TIZO TF-616 (isi 24 pc)</v>
          </cell>
          <cell r="J1113">
            <v>0</v>
          </cell>
          <cell r="K1113">
            <v>114000</v>
          </cell>
        </row>
        <row r="1114">
          <cell r="D1114">
            <v>0</v>
          </cell>
          <cell r="E1114" t="str">
            <v>HIGHLIGHTER / STABILLO TIZO TF-610 (isi 54 pc)</v>
          </cell>
          <cell r="J1114">
            <v>0</v>
          </cell>
          <cell r="K1114">
            <v>244000</v>
          </cell>
        </row>
        <row r="1115">
          <cell r="D1115">
            <v>0</v>
          </cell>
          <cell r="E1115" t="str">
            <v>GEL PEN TIZO TG30801-EL</v>
          </cell>
          <cell r="J1115">
            <v>0</v>
          </cell>
          <cell r="K1115">
            <v>129500</v>
          </cell>
        </row>
        <row r="1116">
          <cell r="D1116">
            <v>0</v>
          </cell>
          <cell r="E1116" t="str">
            <v>GEL PEN TIZO TG31590-EL</v>
          </cell>
          <cell r="J1116">
            <v>0</v>
          </cell>
          <cell r="K1116">
            <v>222000</v>
          </cell>
        </row>
        <row r="1117">
          <cell r="D1117">
            <v>0</v>
          </cell>
          <cell r="E1117" t="str">
            <v>GEL PEN TIZO TG31762-EL</v>
          </cell>
          <cell r="J1117">
            <v>0</v>
          </cell>
          <cell r="K1117">
            <v>37000</v>
          </cell>
        </row>
        <row r="1118">
          <cell r="D1118">
            <v>0</v>
          </cell>
          <cell r="E1118" t="str">
            <v>COLOR BRUSH PEN KENKO DBP-12 DUAL TIP  (12 WARNA)</v>
          </cell>
          <cell r="J1118">
            <v>0</v>
          </cell>
          <cell r="K1118">
            <v>270000</v>
          </cell>
        </row>
        <row r="1119">
          <cell r="D1119">
            <v>0</v>
          </cell>
          <cell r="E1119" t="str">
            <v>TAPE DISPENSER POLAR BEAR MN-305 @12pc</v>
          </cell>
          <cell r="J1119">
            <v>0</v>
          </cell>
          <cell r="K1119">
            <v>210000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1524500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151076.57657657654</v>
          </cell>
        </row>
        <row r="1136">
          <cell r="K1136">
            <v>1524500</v>
          </cell>
        </row>
        <row r="1138">
          <cell r="J1138" t="str">
            <v>RISMA / YO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23040011</v>
          </cell>
        </row>
        <row r="1144">
          <cell r="D1144">
            <v>45031</v>
          </cell>
        </row>
        <row r="1146">
          <cell r="D1146" t="str">
            <v>KO 2945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CT-606 (6M x 5MM)</v>
          </cell>
          <cell r="K1150">
            <v>264600</v>
          </cell>
        </row>
        <row r="1151">
          <cell r="D1151" t="str">
            <v/>
          </cell>
          <cell r="E1151" t="str">
            <v>PUNCH KENKO NO. 40</v>
          </cell>
          <cell r="K1151">
            <v>761400</v>
          </cell>
        </row>
        <row r="1152">
          <cell r="K1152">
            <v>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1026000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101675.67567567567</v>
          </cell>
        </row>
        <row r="1174">
          <cell r="K1174">
            <v>1026000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23040011</v>
          </cell>
        </row>
        <row r="1182">
          <cell r="D1182">
            <v>45031</v>
          </cell>
        </row>
        <row r="1184">
          <cell r="D1184" t="str">
            <v>KO 2945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CT-606 (6M x 5MM)</v>
          </cell>
          <cell r="J1188">
            <v>0</v>
          </cell>
          <cell r="K1188">
            <v>264600</v>
          </cell>
        </row>
        <row r="1189">
          <cell r="D1189" t="str">
            <v/>
          </cell>
          <cell r="E1189" t="str">
            <v>PUNCH KENKO NO. 40</v>
          </cell>
          <cell r="J1189">
            <v>0</v>
          </cell>
          <cell r="K1189">
            <v>761400</v>
          </cell>
        </row>
        <row r="1190">
          <cell r="D1190">
            <v>0</v>
          </cell>
          <cell r="E1190">
            <v>0</v>
          </cell>
          <cell r="J1190">
            <v>0</v>
          </cell>
          <cell r="K1190">
            <v>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1026000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101675.67567567567</v>
          </cell>
        </row>
        <row r="1212">
          <cell r="K1212">
            <v>1026000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23040011</v>
          </cell>
        </row>
        <row r="1220">
          <cell r="D1220">
            <v>45031</v>
          </cell>
        </row>
        <row r="1222">
          <cell r="D1222" t="str">
            <v>KO 2945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CT-606 (6M x 5MM)</v>
          </cell>
          <cell r="J1226">
            <v>0</v>
          </cell>
          <cell r="K1226">
            <v>264600</v>
          </cell>
        </row>
        <row r="1227">
          <cell r="D1227" t="str">
            <v/>
          </cell>
          <cell r="E1227" t="str">
            <v>PUNCH KENKO NO. 40</v>
          </cell>
          <cell r="J1227">
            <v>0</v>
          </cell>
          <cell r="K1227">
            <v>761400</v>
          </cell>
        </row>
        <row r="1228">
          <cell r="D1228">
            <v>0</v>
          </cell>
          <cell r="E1228">
            <v>0</v>
          </cell>
          <cell r="J1228">
            <v>0</v>
          </cell>
          <cell r="K1228">
            <v>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1026000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101675.67567567567</v>
          </cell>
        </row>
        <row r="1250">
          <cell r="K1250">
            <v>1026000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23040012</v>
          </cell>
        </row>
        <row r="1258">
          <cell r="D1258">
            <v>45026</v>
          </cell>
        </row>
        <row r="1260">
          <cell r="D1260" t="str">
            <v>KO 1463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1</v>
          </cell>
          <cell r="E1264" t="str">
            <v>TAPE DISPENSER KENKO TD-321 (1" &amp; 3" CORE)</v>
          </cell>
          <cell r="K1264">
            <v>381840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381840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37839.999999999993</v>
          </cell>
        </row>
        <row r="1288">
          <cell r="K1288">
            <v>381840</v>
          </cell>
        </row>
        <row r="1291">
          <cell r="J1291" t="str">
            <v>RISMA / CONDRO</v>
          </cell>
        </row>
        <row r="1294">
          <cell r="D1294" t="str">
            <v>AM</v>
          </cell>
          <cell r="E1294">
            <v>23040012</v>
          </cell>
        </row>
        <row r="1296">
          <cell r="D1296">
            <v>45026</v>
          </cell>
        </row>
        <row r="1298">
          <cell r="D1298" t="str">
            <v>KO 1463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1</v>
          </cell>
          <cell r="E1302" t="str">
            <v>TAPE DISPENSER KENKO TD-321 (1" &amp; 3" CORE)</v>
          </cell>
          <cell r="J1302">
            <v>0</v>
          </cell>
          <cell r="K1302">
            <v>381840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381840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37839.999999999993</v>
          </cell>
        </row>
        <row r="1326">
          <cell r="K1326">
            <v>381840</v>
          </cell>
        </row>
        <row r="1328">
          <cell r="J1328">
            <v>0</v>
          </cell>
        </row>
        <row r="1329">
          <cell r="J1329" t="str">
            <v>RISMA / CONDRO</v>
          </cell>
        </row>
        <row r="1332">
          <cell r="D1332" t="str">
            <v>AM</v>
          </cell>
          <cell r="E1332">
            <v>23040012</v>
          </cell>
        </row>
        <row r="1334">
          <cell r="D1334">
            <v>45026</v>
          </cell>
        </row>
        <row r="1336">
          <cell r="D1336" t="str">
            <v>KO 1463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1</v>
          </cell>
          <cell r="E1340" t="str">
            <v>TAPE DISPENSER KENKO TD-321 (1" &amp; 3" CORE)</v>
          </cell>
          <cell r="J1340">
            <v>0</v>
          </cell>
          <cell r="K1340">
            <v>381840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381840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37839.999999999993</v>
          </cell>
        </row>
        <row r="1364">
          <cell r="K1364">
            <v>381840</v>
          </cell>
        </row>
        <row r="1366">
          <cell r="J1366">
            <v>0</v>
          </cell>
        </row>
        <row r="1367">
          <cell r="J1367" t="str">
            <v>RISMA / CONDRO</v>
          </cell>
        </row>
        <row r="1370">
          <cell r="D1370" t="str">
            <v>AM</v>
          </cell>
          <cell r="E1370">
            <v>23040013</v>
          </cell>
        </row>
        <row r="1372">
          <cell r="D1372">
            <v>45026</v>
          </cell>
        </row>
        <row r="1374">
          <cell r="D1374" t="str">
            <v>KO 1464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 t="str">
            <v/>
          </cell>
          <cell r="E1378" t="str">
            <v>HIGHLIGHTER / STABILLO JOYKO HL MIX (kuning, hijau)</v>
          </cell>
          <cell r="K1378">
            <v>190920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190920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18919.999999999996</v>
          </cell>
        </row>
        <row r="1402">
          <cell r="K1402">
            <v>190920</v>
          </cell>
        </row>
        <row r="1404">
          <cell r="J1404" t="str">
            <v>RISMA / CONDRO</v>
          </cell>
        </row>
        <row r="1408">
          <cell r="D1408" t="str">
            <v>AM</v>
          </cell>
          <cell r="E1408">
            <v>23040013</v>
          </cell>
        </row>
        <row r="1410">
          <cell r="D1410">
            <v>45026</v>
          </cell>
        </row>
        <row r="1412">
          <cell r="D1412" t="str">
            <v>KO 1464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 t="str">
            <v/>
          </cell>
          <cell r="E1416" t="str">
            <v>HIGHLIGHTER / STABILLO JOYKO HL MIX (kuning, hijau)</v>
          </cell>
          <cell r="J1416">
            <v>0</v>
          </cell>
          <cell r="K1416">
            <v>190920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190920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18919.999999999996</v>
          </cell>
        </row>
        <row r="1440">
          <cell r="K1440">
            <v>190920</v>
          </cell>
        </row>
        <row r="1442">
          <cell r="J1442" t="str">
            <v>RISMA / CONDRO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23040013</v>
          </cell>
        </row>
        <row r="1448">
          <cell r="D1448">
            <v>45026</v>
          </cell>
        </row>
        <row r="1450">
          <cell r="D1450" t="str">
            <v>KO 1464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 t="str">
            <v/>
          </cell>
          <cell r="E1454" t="str">
            <v>HIGHLIGHTER / STABILLO JOYKO HL MIX (kuning, hijau)</v>
          </cell>
          <cell r="J1454">
            <v>0</v>
          </cell>
          <cell r="K1454">
            <v>190920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190920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18919.999999999996</v>
          </cell>
        </row>
        <row r="1478">
          <cell r="K1478">
            <v>190920</v>
          </cell>
        </row>
        <row r="1480">
          <cell r="J1480" t="str">
            <v>RISMA / CONDRO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23040014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K1492">
            <v>0</v>
          </cell>
        </row>
        <row r="1493">
          <cell r="K1493">
            <v>0</v>
          </cell>
        </row>
        <row r="1494">
          <cell r="K1494">
            <v>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0</v>
          </cell>
        </row>
        <row r="1516">
          <cell r="K1516">
            <v>0</v>
          </cell>
        </row>
        <row r="1522">
          <cell r="D1522" t="str">
            <v>AM</v>
          </cell>
          <cell r="E1522">
            <v>23040014</v>
          </cell>
        </row>
        <row r="1524">
          <cell r="D1524">
            <v>0</v>
          </cell>
        </row>
        <row r="1526">
          <cell r="D1526">
            <v>0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0</v>
          </cell>
          <cell r="E1530">
            <v>0</v>
          </cell>
          <cell r="J1530">
            <v>0</v>
          </cell>
          <cell r="K1530">
            <v>0</v>
          </cell>
        </row>
        <row r="1531">
          <cell r="D1531">
            <v>0</v>
          </cell>
          <cell r="E1531">
            <v>0</v>
          </cell>
          <cell r="J1531">
            <v>0</v>
          </cell>
          <cell r="K1531">
            <v>0</v>
          </cell>
        </row>
        <row r="1532">
          <cell r="D1532">
            <v>0</v>
          </cell>
          <cell r="E1532">
            <v>0</v>
          </cell>
          <cell r="J1532">
            <v>0</v>
          </cell>
          <cell r="K1532">
            <v>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0</v>
          </cell>
        </row>
        <row r="1554">
          <cell r="K1554">
            <v>0</v>
          </cell>
        </row>
        <row r="1556">
          <cell r="J1556">
            <v>0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23040014</v>
          </cell>
        </row>
        <row r="1562">
          <cell r="D1562">
            <v>0</v>
          </cell>
        </row>
        <row r="1564">
          <cell r="D1564">
            <v>0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0</v>
          </cell>
          <cell r="E1568">
            <v>0</v>
          </cell>
          <cell r="J1568">
            <v>0</v>
          </cell>
          <cell r="K1568">
            <v>0</v>
          </cell>
        </row>
        <row r="1569">
          <cell r="D1569">
            <v>0</v>
          </cell>
          <cell r="E1569">
            <v>0</v>
          </cell>
          <cell r="J1569">
            <v>0</v>
          </cell>
          <cell r="K1569">
            <v>0</v>
          </cell>
        </row>
        <row r="1570">
          <cell r="D1570">
            <v>0</v>
          </cell>
          <cell r="E1570">
            <v>0</v>
          </cell>
          <cell r="J1570">
            <v>0</v>
          </cell>
          <cell r="K1570">
            <v>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0</v>
          </cell>
        </row>
        <row r="1592">
          <cell r="K1592">
            <v>0</v>
          </cell>
        </row>
        <row r="1594">
          <cell r="J1594">
            <v>0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23040015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K1606">
            <v>0</v>
          </cell>
        </row>
        <row r="1607">
          <cell r="K1607">
            <v>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0</v>
          </cell>
        </row>
        <row r="1630">
          <cell r="K1630">
            <v>0</v>
          </cell>
        </row>
        <row r="1636">
          <cell r="D1636" t="str">
            <v>AM</v>
          </cell>
          <cell r="E1636">
            <v>23040015</v>
          </cell>
        </row>
        <row r="1638">
          <cell r="D1638">
            <v>0</v>
          </cell>
        </row>
        <row r="1640">
          <cell r="D1640">
            <v>0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>
            <v>0</v>
          </cell>
          <cell r="E1644">
            <v>0</v>
          </cell>
          <cell r="J1644">
            <v>0</v>
          </cell>
          <cell r="K1644">
            <v>0</v>
          </cell>
        </row>
        <row r="1645">
          <cell r="D1645">
            <v>0</v>
          </cell>
          <cell r="E1645">
            <v>0</v>
          </cell>
          <cell r="J1645">
            <v>0</v>
          </cell>
          <cell r="K1645">
            <v>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0</v>
          </cell>
        </row>
        <row r="1668">
          <cell r="K1668">
            <v>0</v>
          </cell>
        </row>
        <row r="1670">
          <cell r="J1670">
            <v>0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23040015</v>
          </cell>
        </row>
        <row r="1676">
          <cell r="D1676">
            <v>0</v>
          </cell>
        </row>
        <row r="1678">
          <cell r="D1678">
            <v>0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>
            <v>0</v>
          </cell>
          <cell r="E1682">
            <v>0</v>
          </cell>
          <cell r="J1682">
            <v>0</v>
          </cell>
          <cell r="K1682">
            <v>0</v>
          </cell>
        </row>
        <row r="1683">
          <cell r="D1683">
            <v>0</v>
          </cell>
          <cell r="E1683">
            <v>0</v>
          </cell>
          <cell r="J1683">
            <v>0</v>
          </cell>
          <cell r="K1683">
            <v>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0</v>
          </cell>
        </row>
        <row r="1706">
          <cell r="K1706">
            <v>0</v>
          </cell>
        </row>
        <row r="1708">
          <cell r="J1708">
            <v>0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23040016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K1720">
            <v>0</v>
          </cell>
        </row>
        <row r="1721">
          <cell r="K1721">
            <v>0</v>
          </cell>
        </row>
        <row r="1722">
          <cell r="K1722">
            <v>0</v>
          </cell>
        </row>
        <row r="1723">
          <cell r="K1723">
            <v>0</v>
          </cell>
        </row>
        <row r="1724">
          <cell r="K1724">
            <v>0</v>
          </cell>
        </row>
        <row r="1725">
          <cell r="K1725">
            <v>0</v>
          </cell>
        </row>
        <row r="1726">
          <cell r="K1726">
            <v>0</v>
          </cell>
        </row>
        <row r="1727">
          <cell r="K1727">
            <v>0</v>
          </cell>
        </row>
        <row r="1728">
          <cell r="K1728">
            <v>0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0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0</v>
          </cell>
        </row>
        <row r="1744">
          <cell r="K1744">
            <v>0</v>
          </cell>
        </row>
        <row r="1750">
          <cell r="D1750" t="str">
            <v>AM</v>
          </cell>
          <cell r="E1750">
            <v>23040016</v>
          </cell>
        </row>
        <row r="1752">
          <cell r="D1752">
            <v>0</v>
          </cell>
        </row>
        <row r="1754">
          <cell r="D1754">
            <v>0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>
            <v>0</v>
          </cell>
          <cell r="E1758">
            <v>0</v>
          </cell>
          <cell r="J1758">
            <v>0</v>
          </cell>
          <cell r="K1758">
            <v>0</v>
          </cell>
        </row>
        <row r="1759">
          <cell r="D1759">
            <v>0</v>
          </cell>
          <cell r="E1759">
            <v>0</v>
          </cell>
          <cell r="J1759">
            <v>0</v>
          </cell>
          <cell r="K1759">
            <v>0</v>
          </cell>
        </row>
        <row r="1760">
          <cell r="D1760">
            <v>0</v>
          </cell>
          <cell r="E1760">
            <v>0</v>
          </cell>
          <cell r="J1760">
            <v>0</v>
          </cell>
          <cell r="K1760">
            <v>0</v>
          </cell>
        </row>
        <row r="1761">
          <cell r="D1761">
            <v>0</v>
          </cell>
          <cell r="E1761">
            <v>0</v>
          </cell>
          <cell r="J1761">
            <v>0</v>
          </cell>
          <cell r="K1761">
            <v>0</v>
          </cell>
        </row>
        <row r="1762">
          <cell r="D1762">
            <v>0</v>
          </cell>
          <cell r="E1762">
            <v>0</v>
          </cell>
          <cell r="J1762">
            <v>0</v>
          </cell>
          <cell r="K1762">
            <v>0</v>
          </cell>
        </row>
        <row r="1763">
          <cell r="D1763">
            <v>0</v>
          </cell>
          <cell r="E1763">
            <v>0</v>
          </cell>
          <cell r="J1763">
            <v>0</v>
          </cell>
          <cell r="K1763">
            <v>0</v>
          </cell>
        </row>
        <row r="1764">
          <cell r="D1764">
            <v>0</v>
          </cell>
          <cell r="E1764">
            <v>0</v>
          </cell>
          <cell r="J1764">
            <v>0</v>
          </cell>
          <cell r="K1764">
            <v>0</v>
          </cell>
        </row>
        <row r="1765">
          <cell r="D1765">
            <v>0</v>
          </cell>
          <cell r="E1765">
            <v>0</v>
          </cell>
          <cell r="J1765">
            <v>0</v>
          </cell>
          <cell r="K1765">
            <v>0</v>
          </cell>
        </row>
        <row r="1766">
          <cell r="D1766">
            <v>0</v>
          </cell>
          <cell r="E1766">
            <v>0</v>
          </cell>
          <cell r="J1766">
            <v>0</v>
          </cell>
          <cell r="K1766">
            <v>0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0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0</v>
          </cell>
        </row>
        <row r="1782">
          <cell r="K1782">
            <v>0</v>
          </cell>
        </row>
        <row r="1784">
          <cell r="J1784">
            <v>0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23040016</v>
          </cell>
        </row>
        <row r="1790">
          <cell r="D1790">
            <v>0</v>
          </cell>
        </row>
        <row r="1792">
          <cell r="D1792">
            <v>0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>
            <v>0</v>
          </cell>
          <cell r="E1796">
            <v>0</v>
          </cell>
          <cell r="J1796">
            <v>0</v>
          </cell>
          <cell r="K1796">
            <v>0</v>
          </cell>
        </row>
        <row r="1797">
          <cell r="D1797">
            <v>0</v>
          </cell>
          <cell r="E1797">
            <v>0</v>
          </cell>
          <cell r="J1797">
            <v>0</v>
          </cell>
          <cell r="K1797">
            <v>0</v>
          </cell>
        </row>
        <row r="1798">
          <cell r="D1798">
            <v>0</v>
          </cell>
          <cell r="E1798">
            <v>0</v>
          </cell>
          <cell r="J1798">
            <v>0</v>
          </cell>
          <cell r="K1798">
            <v>0</v>
          </cell>
        </row>
        <row r="1799">
          <cell r="D1799">
            <v>0</v>
          </cell>
          <cell r="E1799">
            <v>0</v>
          </cell>
          <cell r="J1799">
            <v>0</v>
          </cell>
          <cell r="K1799">
            <v>0</v>
          </cell>
        </row>
        <row r="1800">
          <cell r="D1800">
            <v>0</v>
          </cell>
          <cell r="E1800">
            <v>0</v>
          </cell>
          <cell r="J1800">
            <v>0</v>
          </cell>
          <cell r="K1800">
            <v>0</v>
          </cell>
        </row>
        <row r="1801">
          <cell r="D1801">
            <v>0</v>
          </cell>
          <cell r="E1801">
            <v>0</v>
          </cell>
          <cell r="J1801">
            <v>0</v>
          </cell>
          <cell r="K1801">
            <v>0</v>
          </cell>
        </row>
        <row r="1802">
          <cell r="D1802">
            <v>0</v>
          </cell>
          <cell r="E1802">
            <v>0</v>
          </cell>
          <cell r="J1802">
            <v>0</v>
          </cell>
          <cell r="K1802">
            <v>0</v>
          </cell>
        </row>
        <row r="1803">
          <cell r="D1803">
            <v>0</v>
          </cell>
          <cell r="E1803">
            <v>0</v>
          </cell>
          <cell r="J1803">
            <v>0</v>
          </cell>
          <cell r="K1803">
            <v>0</v>
          </cell>
        </row>
        <row r="1804">
          <cell r="D1804">
            <v>0</v>
          </cell>
          <cell r="E1804">
            <v>0</v>
          </cell>
          <cell r="J1804">
            <v>0</v>
          </cell>
          <cell r="K1804">
            <v>0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0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0</v>
          </cell>
        </row>
        <row r="1820">
          <cell r="K1820">
            <v>0</v>
          </cell>
        </row>
        <row r="1822">
          <cell r="J1822">
            <v>0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23040017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K1834">
            <v>0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0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0</v>
          </cell>
        </row>
        <row r="1858">
          <cell r="K1858">
            <v>0</v>
          </cell>
        </row>
        <row r="1864">
          <cell r="D1864" t="str">
            <v>AM</v>
          </cell>
          <cell r="E1864">
            <v>23040017</v>
          </cell>
        </row>
        <row r="1866">
          <cell r="D1866">
            <v>0</v>
          </cell>
        </row>
        <row r="1868">
          <cell r="D1868">
            <v>0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0</v>
          </cell>
          <cell r="E1872">
            <v>0</v>
          </cell>
          <cell r="J1872">
            <v>0</v>
          </cell>
          <cell r="K1872">
            <v>0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0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0</v>
          </cell>
        </row>
        <row r="1896">
          <cell r="K1896">
            <v>0</v>
          </cell>
        </row>
        <row r="1898">
          <cell r="J1898">
            <v>0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23040017</v>
          </cell>
        </row>
        <row r="1904">
          <cell r="D1904">
            <v>0</v>
          </cell>
        </row>
        <row r="1906">
          <cell r="D1906">
            <v>0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0</v>
          </cell>
          <cell r="E1910">
            <v>0</v>
          </cell>
          <cell r="J1910">
            <v>0</v>
          </cell>
          <cell r="K1910">
            <v>0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0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0</v>
          </cell>
        </row>
        <row r="1934">
          <cell r="K1934">
            <v>0</v>
          </cell>
        </row>
        <row r="1936">
          <cell r="J1936">
            <v>0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23040018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K1948">
            <v>0</v>
          </cell>
        </row>
        <row r="1949">
          <cell r="K1949">
            <v>0</v>
          </cell>
        </row>
        <row r="1950">
          <cell r="K1950">
            <v>0</v>
          </cell>
        </row>
        <row r="1951">
          <cell r="K1951">
            <v>0</v>
          </cell>
        </row>
        <row r="1952">
          <cell r="K1952">
            <v>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0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0</v>
          </cell>
        </row>
        <row r="1972">
          <cell r="K1972">
            <v>0</v>
          </cell>
        </row>
        <row r="1978">
          <cell r="D1978" t="str">
            <v>AM</v>
          </cell>
          <cell r="E1978">
            <v>23040018</v>
          </cell>
        </row>
        <row r="1980">
          <cell r="D1980">
            <v>0</v>
          </cell>
        </row>
        <row r="1982">
          <cell r="D1982">
            <v>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0</v>
          </cell>
          <cell r="E1986">
            <v>0</v>
          </cell>
          <cell r="J1986">
            <v>0</v>
          </cell>
          <cell r="K1986">
            <v>0</v>
          </cell>
        </row>
        <row r="1987">
          <cell r="D1987">
            <v>0</v>
          </cell>
          <cell r="E1987">
            <v>0</v>
          </cell>
          <cell r="J1987">
            <v>0</v>
          </cell>
          <cell r="K1987">
            <v>0</v>
          </cell>
        </row>
        <row r="1988">
          <cell r="D1988">
            <v>0</v>
          </cell>
          <cell r="E1988">
            <v>0</v>
          </cell>
          <cell r="J1988">
            <v>0</v>
          </cell>
          <cell r="K1988">
            <v>0</v>
          </cell>
        </row>
        <row r="1989">
          <cell r="D1989">
            <v>0</v>
          </cell>
          <cell r="E1989">
            <v>0</v>
          </cell>
          <cell r="J1989">
            <v>0</v>
          </cell>
          <cell r="K1989">
            <v>0</v>
          </cell>
        </row>
        <row r="1990">
          <cell r="D1990">
            <v>0</v>
          </cell>
          <cell r="E1990">
            <v>0</v>
          </cell>
          <cell r="J1990">
            <v>0</v>
          </cell>
          <cell r="K1990">
            <v>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0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0</v>
          </cell>
        </row>
        <row r="2010">
          <cell r="K2010">
            <v>0</v>
          </cell>
        </row>
        <row r="2012">
          <cell r="J2012">
            <v>0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23040018</v>
          </cell>
        </row>
        <row r="2018">
          <cell r="D2018">
            <v>0</v>
          </cell>
        </row>
        <row r="2020">
          <cell r="D2020">
            <v>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0</v>
          </cell>
          <cell r="E2024">
            <v>0</v>
          </cell>
          <cell r="J2024">
            <v>0</v>
          </cell>
          <cell r="K2024">
            <v>0</v>
          </cell>
        </row>
        <row r="2025">
          <cell r="D2025">
            <v>0</v>
          </cell>
          <cell r="E2025">
            <v>0</v>
          </cell>
          <cell r="J2025">
            <v>0</v>
          </cell>
          <cell r="K2025">
            <v>0</v>
          </cell>
        </row>
        <row r="2026">
          <cell r="D2026">
            <v>0</v>
          </cell>
          <cell r="E2026">
            <v>0</v>
          </cell>
          <cell r="J2026">
            <v>0</v>
          </cell>
          <cell r="K2026">
            <v>0</v>
          </cell>
        </row>
        <row r="2027">
          <cell r="D2027">
            <v>0</v>
          </cell>
          <cell r="E2027">
            <v>0</v>
          </cell>
          <cell r="J2027">
            <v>0</v>
          </cell>
          <cell r="K2027">
            <v>0</v>
          </cell>
        </row>
        <row r="2028">
          <cell r="D2028">
            <v>0</v>
          </cell>
          <cell r="E2028">
            <v>0</v>
          </cell>
          <cell r="J2028">
            <v>0</v>
          </cell>
          <cell r="K2028">
            <v>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0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0</v>
          </cell>
        </row>
        <row r="2048">
          <cell r="K2048">
            <v>0</v>
          </cell>
        </row>
        <row r="2050">
          <cell r="J2050">
            <v>0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23040019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K2062">
            <v>0</v>
          </cell>
        </row>
        <row r="2063">
          <cell r="K2063">
            <v>0</v>
          </cell>
        </row>
        <row r="2064">
          <cell r="K2064">
            <v>0</v>
          </cell>
        </row>
        <row r="2065">
          <cell r="K2065">
            <v>0</v>
          </cell>
        </row>
        <row r="2066">
          <cell r="K2066">
            <v>0</v>
          </cell>
        </row>
        <row r="2067">
          <cell r="K2067">
            <v>0</v>
          </cell>
        </row>
        <row r="2068">
          <cell r="K2068">
            <v>0</v>
          </cell>
        </row>
        <row r="2069">
          <cell r="K2069">
            <v>0</v>
          </cell>
        </row>
        <row r="2070">
          <cell r="K2070">
            <v>0</v>
          </cell>
        </row>
        <row r="2071">
          <cell r="K2071">
            <v>0</v>
          </cell>
        </row>
        <row r="2072">
          <cell r="K2072">
            <v>0</v>
          </cell>
        </row>
        <row r="2073">
          <cell r="K2073">
            <v>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0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0</v>
          </cell>
        </row>
        <row r="2086">
          <cell r="K2086">
            <v>0</v>
          </cell>
        </row>
        <row r="2092">
          <cell r="D2092" t="str">
            <v>AM</v>
          </cell>
          <cell r="E2092">
            <v>23040019</v>
          </cell>
        </row>
        <row r="2094">
          <cell r="D2094">
            <v>0</v>
          </cell>
        </row>
        <row r="2096">
          <cell r="D2096">
            <v>0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0</v>
          </cell>
          <cell r="E2100">
            <v>0</v>
          </cell>
          <cell r="J2100">
            <v>0</v>
          </cell>
          <cell r="K2100">
            <v>0</v>
          </cell>
        </row>
        <row r="2101">
          <cell r="D2101">
            <v>0</v>
          </cell>
          <cell r="E2101">
            <v>0</v>
          </cell>
          <cell r="J2101">
            <v>0</v>
          </cell>
          <cell r="K2101">
            <v>0</v>
          </cell>
        </row>
        <row r="2102">
          <cell r="D2102">
            <v>0</v>
          </cell>
          <cell r="E2102">
            <v>0</v>
          </cell>
          <cell r="J2102">
            <v>0</v>
          </cell>
          <cell r="K2102">
            <v>0</v>
          </cell>
        </row>
        <row r="2103">
          <cell r="D2103">
            <v>0</v>
          </cell>
          <cell r="E2103">
            <v>0</v>
          </cell>
          <cell r="J2103">
            <v>0</v>
          </cell>
          <cell r="K2103">
            <v>0</v>
          </cell>
        </row>
        <row r="2104">
          <cell r="D2104">
            <v>0</v>
          </cell>
          <cell r="E2104">
            <v>0</v>
          </cell>
          <cell r="J2104">
            <v>0</v>
          </cell>
          <cell r="K2104">
            <v>0</v>
          </cell>
        </row>
        <row r="2105">
          <cell r="D2105">
            <v>0</v>
          </cell>
          <cell r="E2105">
            <v>0</v>
          </cell>
          <cell r="J2105">
            <v>0</v>
          </cell>
          <cell r="K2105">
            <v>0</v>
          </cell>
        </row>
        <row r="2106">
          <cell r="D2106">
            <v>0</v>
          </cell>
          <cell r="E2106">
            <v>0</v>
          </cell>
          <cell r="J2106">
            <v>0</v>
          </cell>
          <cell r="K2106">
            <v>0</v>
          </cell>
        </row>
        <row r="2107">
          <cell r="D2107">
            <v>0</v>
          </cell>
          <cell r="E2107">
            <v>0</v>
          </cell>
          <cell r="J2107">
            <v>0</v>
          </cell>
          <cell r="K2107">
            <v>0</v>
          </cell>
        </row>
        <row r="2108">
          <cell r="D2108">
            <v>0</v>
          </cell>
          <cell r="E2108">
            <v>0</v>
          </cell>
          <cell r="J2108">
            <v>0</v>
          </cell>
          <cell r="K2108">
            <v>0</v>
          </cell>
        </row>
        <row r="2109">
          <cell r="D2109">
            <v>0</v>
          </cell>
          <cell r="E2109">
            <v>0</v>
          </cell>
          <cell r="J2109">
            <v>0</v>
          </cell>
          <cell r="K2109">
            <v>0</v>
          </cell>
        </row>
        <row r="2110">
          <cell r="D2110">
            <v>0</v>
          </cell>
          <cell r="E2110">
            <v>0</v>
          </cell>
          <cell r="J2110">
            <v>0</v>
          </cell>
          <cell r="K2110">
            <v>0</v>
          </cell>
        </row>
        <row r="2111">
          <cell r="D2111">
            <v>0</v>
          </cell>
          <cell r="E2111">
            <v>0</v>
          </cell>
          <cell r="J2111">
            <v>0</v>
          </cell>
          <cell r="K2111">
            <v>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0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0</v>
          </cell>
        </row>
        <row r="2124">
          <cell r="K2124">
            <v>0</v>
          </cell>
        </row>
        <row r="2126">
          <cell r="J2126">
            <v>0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23040019</v>
          </cell>
        </row>
        <row r="2132">
          <cell r="D2132">
            <v>0</v>
          </cell>
        </row>
        <row r="2134">
          <cell r="D2134">
            <v>0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0</v>
          </cell>
          <cell r="E2138">
            <v>0</v>
          </cell>
          <cell r="J2138">
            <v>0</v>
          </cell>
          <cell r="K2138">
            <v>0</v>
          </cell>
        </row>
        <row r="2139">
          <cell r="D2139">
            <v>0</v>
          </cell>
          <cell r="E2139">
            <v>0</v>
          </cell>
          <cell r="J2139">
            <v>0</v>
          </cell>
          <cell r="K2139">
            <v>0</v>
          </cell>
        </row>
        <row r="2140">
          <cell r="D2140">
            <v>0</v>
          </cell>
          <cell r="E2140">
            <v>0</v>
          </cell>
          <cell r="J2140">
            <v>0</v>
          </cell>
          <cell r="K2140">
            <v>0</v>
          </cell>
        </row>
        <row r="2141">
          <cell r="D2141">
            <v>0</v>
          </cell>
          <cell r="E2141">
            <v>0</v>
          </cell>
          <cell r="J2141">
            <v>0</v>
          </cell>
          <cell r="K2141">
            <v>0</v>
          </cell>
        </row>
        <row r="2142">
          <cell r="D2142">
            <v>0</v>
          </cell>
          <cell r="E2142">
            <v>0</v>
          </cell>
          <cell r="J2142">
            <v>0</v>
          </cell>
          <cell r="K2142">
            <v>0</v>
          </cell>
        </row>
        <row r="2143">
          <cell r="D2143">
            <v>0</v>
          </cell>
          <cell r="E2143">
            <v>0</v>
          </cell>
          <cell r="J2143">
            <v>0</v>
          </cell>
          <cell r="K2143">
            <v>0</v>
          </cell>
        </row>
        <row r="2144">
          <cell r="D2144">
            <v>0</v>
          </cell>
          <cell r="E2144">
            <v>0</v>
          </cell>
          <cell r="J2144">
            <v>0</v>
          </cell>
          <cell r="K2144">
            <v>0</v>
          </cell>
        </row>
        <row r="2145">
          <cell r="D2145">
            <v>0</v>
          </cell>
          <cell r="E2145">
            <v>0</v>
          </cell>
          <cell r="J2145">
            <v>0</v>
          </cell>
          <cell r="K2145">
            <v>0</v>
          </cell>
        </row>
        <row r="2146">
          <cell r="D2146">
            <v>0</v>
          </cell>
          <cell r="E2146">
            <v>0</v>
          </cell>
          <cell r="J2146">
            <v>0</v>
          </cell>
          <cell r="K2146">
            <v>0</v>
          </cell>
        </row>
        <row r="2147">
          <cell r="D2147">
            <v>0</v>
          </cell>
          <cell r="E2147">
            <v>0</v>
          </cell>
          <cell r="J2147">
            <v>0</v>
          </cell>
          <cell r="K2147">
            <v>0</v>
          </cell>
        </row>
        <row r="2148">
          <cell r="D2148">
            <v>0</v>
          </cell>
          <cell r="E2148">
            <v>0</v>
          </cell>
          <cell r="J2148">
            <v>0</v>
          </cell>
          <cell r="K2148">
            <v>0</v>
          </cell>
        </row>
        <row r="2149">
          <cell r="D2149">
            <v>0</v>
          </cell>
          <cell r="E2149">
            <v>0</v>
          </cell>
          <cell r="J2149">
            <v>0</v>
          </cell>
          <cell r="K2149">
            <v>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0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0</v>
          </cell>
        </row>
        <row r="2162">
          <cell r="K2162">
            <v>0</v>
          </cell>
        </row>
        <row r="2164">
          <cell r="J2164">
            <v>0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23040020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K2176">
            <v>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0</v>
          </cell>
        </row>
        <row r="2200">
          <cell r="K2200">
            <v>0</v>
          </cell>
        </row>
        <row r="2206">
          <cell r="D2206" t="str">
            <v>AM</v>
          </cell>
          <cell r="E2206">
            <v>23040020</v>
          </cell>
        </row>
        <row r="2208">
          <cell r="D2208">
            <v>0</v>
          </cell>
        </row>
        <row r="2210">
          <cell r="D2210">
            <v>0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0</v>
          </cell>
          <cell r="E2214">
            <v>0</v>
          </cell>
          <cell r="J2214">
            <v>0</v>
          </cell>
          <cell r="K2214">
            <v>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0</v>
          </cell>
        </row>
        <row r="2238">
          <cell r="K2238">
            <v>0</v>
          </cell>
        </row>
        <row r="2240">
          <cell r="J2240">
            <v>0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23040020</v>
          </cell>
        </row>
        <row r="2246">
          <cell r="D2246">
            <v>0</v>
          </cell>
        </row>
        <row r="2248">
          <cell r="D2248">
            <v>0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0</v>
          </cell>
          <cell r="E2252">
            <v>0</v>
          </cell>
          <cell r="J2252">
            <v>0</v>
          </cell>
          <cell r="K2252">
            <v>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0</v>
          </cell>
        </row>
        <row r="2276">
          <cell r="K2276">
            <v>0</v>
          </cell>
        </row>
        <row r="2278">
          <cell r="J2278">
            <v>0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23040021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K2290">
            <v>0</v>
          </cell>
        </row>
        <row r="2291">
          <cell r="K2291">
            <v>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0</v>
          </cell>
        </row>
        <row r="2314">
          <cell r="K2314">
            <v>0</v>
          </cell>
        </row>
        <row r="2320">
          <cell r="D2320" t="str">
            <v>AM</v>
          </cell>
          <cell r="E2320">
            <v>23040021</v>
          </cell>
        </row>
        <row r="2322">
          <cell r="D2322">
            <v>0</v>
          </cell>
        </row>
        <row r="2324">
          <cell r="D2324">
            <v>0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0</v>
          </cell>
          <cell r="E2328">
            <v>0</v>
          </cell>
          <cell r="J2328">
            <v>0</v>
          </cell>
          <cell r="K2328">
            <v>0</v>
          </cell>
        </row>
        <row r="2329">
          <cell r="D2329">
            <v>0</v>
          </cell>
          <cell r="E2329">
            <v>0</v>
          </cell>
          <cell r="J2329">
            <v>0</v>
          </cell>
          <cell r="K2329">
            <v>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0</v>
          </cell>
        </row>
        <row r="2352">
          <cell r="K2352">
            <v>0</v>
          </cell>
        </row>
        <row r="2354">
          <cell r="J2354">
            <v>0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23040021</v>
          </cell>
        </row>
        <row r="2360">
          <cell r="D2360">
            <v>0</v>
          </cell>
        </row>
        <row r="2362">
          <cell r="D2362">
            <v>0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0</v>
          </cell>
          <cell r="E2366">
            <v>0</v>
          </cell>
          <cell r="J2366">
            <v>0</v>
          </cell>
          <cell r="K2366">
            <v>0</v>
          </cell>
        </row>
        <row r="2367">
          <cell r="D2367">
            <v>0</v>
          </cell>
          <cell r="E2367">
            <v>0</v>
          </cell>
          <cell r="J2367">
            <v>0</v>
          </cell>
          <cell r="K2367">
            <v>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0</v>
          </cell>
        </row>
        <row r="2390">
          <cell r="K2390">
            <v>0</v>
          </cell>
        </row>
        <row r="2392">
          <cell r="J2392">
            <v>0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23040022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K2404">
            <v>0</v>
          </cell>
        </row>
        <row r="2405">
          <cell r="K2405">
            <v>0</v>
          </cell>
        </row>
        <row r="2406">
          <cell r="K2406">
            <v>0</v>
          </cell>
        </row>
        <row r="2407">
          <cell r="K2407">
            <v>0</v>
          </cell>
        </row>
        <row r="2408">
          <cell r="K2408">
            <v>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0</v>
          </cell>
        </row>
        <row r="2428">
          <cell r="K2428">
            <v>0</v>
          </cell>
        </row>
        <row r="2434">
          <cell r="D2434" t="str">
            <v>AM</v>
          </cell>
          <cell r="E2434">
            <v>23040022</v>
          </cell>
        </row>
        <row r="2436">
          <cell r="D2436">
            <v>0</v>
          </cell>
        </row>
        <row r="2438">
          <cell r="D2438">
            <v>0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0</v>
          </cell>
          <cell r="E2442">
            <v>0</v>
          </cell>
          <cell r="J2442">
            <v>0</v>
          </cell>
          <cell r="K2442">
            <v>0</v>
          </cell>
        </row>
        <row r="2443">
          <cell r="D2443">
            <v>0</v>
          </cell>
          <cell r="E2443">
            <v>0</v>
          </cell>
          <cell r="J2443">
            <v>0</v>
          </cell>
          <cell r="K2443">
            <v>0</v>
          </cell>
        </row>
        <row r="2444">
          <cell r="D2444">
            <v>0</v>
          </cell>
          <cell r="E2444">
            <v>0</v>
          </cell>
          <cell r="J2444">
            <v>0</v>
          </cell>
          <cell r="K2444">
            <v>0</v>
          </cell>
        </row>
        <row r="2445">
          <cell r="D2445">
            <v>0</v>
          </cell>
          <cell r="E2445">
            <v>0</v>
          </cell>
          <cell r="J2445">
            <v>0</v>
          </cell>
          <cell r="K2445">
            <v>0</v>
          </cell>
        </row>
        <row r="2446">
          <cell r="D2446">
            <v>0</v>
          </cell>
          <cell r="E2446">
            <v>0</v>
          </cell>
          <cell r="J2446">
            <v>0</v>
          </cell>
          <cell r="K2446">
            <v>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0</v>
          </cell>
        </row>
        <row r="2466">
          <cell r="K2466">
            <v>0</v>
          </cell>
        </row>
        <row r="2468">
          <cell r="J2468">
            <v>0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23040022</v>
          </cell>
        </row>
        <row r="2474">
          <cell r="D2474">
            <v>0</v>
          </cell>
        </row>
        <row r="2476">
          <cell r="D2476">
            <v>0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0</v>
          </cell>
          <cell r="E2480">
            <v>0</v>
          </cell>
          <cell r="J2480">
            <v>0</v>
          </cell>
          <cell r="K2480">
            <v>0</v>
          </cell>
        </row>
        <row r="2481">
          <cell r="D2481">
            <v>0</v>
          </cell>
          <cell r="E2481">
            <v>0</v>
          </cell>
          <cell r="J2481">
            <v>0</v>
          </cell>
          <cell r="K2481">
            <v>0</v>
          </cell>
        </row>
        <row r="2482">
          <cell r="D2482">
            <v>0</v>
          </cell>
          <cell r="E2482">
            <v>0</v>
          </cell>
          <cell r="J2482">
            <v>0</v>
          </cell>
          <cell r="K2482">
            <v>0</v>
          </cell>
        </row>
        <row r="2483">
          <cell r="D2483">
            <v>0</v>
          </cell>
          <cell r="E2483">
            <v>0</v>
          </cell>
          <cell r="J2483">
            <v>0</v>
          </cell>
          <cell r="K2483">
            <v>0</v>
          </cell>
        </row>
        <row r="2484">
          <cell r="D2484">
            <v>0</v>
          </cell>
          <cell r="E2484">
            <v>0</v>
          </cell>
          <cell r="J2484">
            <v>0</v>
          </cell>
          <cell r="K2484">
            <v>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0</v>
          </cell>
        </row>
        <row r="2504">
          <cell r="K2504">
            <v>0</v>
          </cell>
        </row>
        <row r="2506">
          <cell r="J2506">
            <v>0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23040023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K2518">
            <v>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0</v>
          </cell>
        </row>
        <row r="2542">
          <cell r="K2542">
            <v>0</v>
          </cell>
        </row>
        <row r="2548">
          <cell r="D2548" t="str">
            <v>AM</v>
          </cell>
          <cell r="E2548">
            <v>23040023</v>
          </cell>
        </row>
        <row r="2550">
          <cell r="D2550">
            <v>0</v>
          </cell>
        </row>
        <row r="2552">
          <cell r="D2552">
            <v>0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0</v>
          </cell>
          <cell r="E2556">
            <v>0</v>
          </cell>
          <cell r="J2556">
            <v>0</v>
          </cell>
          <cell r="K2556">
            <v>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0</v>
          </cell>
        </row>
        <row r="2580">
          <cell r="K2580">
            <v>0</v>
          </cell>
        </row>
        <row r="2582">
          <cell r="J2582">
            <v>0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23040023</v>
          </cell>
        </row>
        <row r="2588">
          <cell r="D2588">
            <v>0</v>
          </cell>
        </row>
        <row r="2590">
          <cell r="D2590">
            <v>0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0</v>
          </cell>
          <cell r="E2594">
            <v>0</v>
          </cell>
          <cell r="J2594">
            <v>0</v>
          </cell>
          <cell r="K2594">
            <v>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0</v>
          </cell>
        </row>
        <row r="2618">
          <cell r="K2618">
            <v>0</v>
          </cell>
        </row>
        <row r="2620">
          <cell r="J2620">
            <v>0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23040024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K2632">
            <v>0</v>
          </cell>
        </row>
        <row r="2633">
          <cell r="K2633">
            <v>0</v>
          </cell>
        </row>
        <row r="2634">
          <cell r="K2634">
            <v>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0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0</v>
          </cell>
        </row>
        <row r="2656">
          <cell r="K2656">
            <v>0</v>
          </cell>
        </row>
        <row r="2662">
          <cell r="D2662" t="str">
            <v>AM</v>
          </cell>
          <cell r="E2662">
            <v>23040024</v>
          </cell>
        </row>
        <row r="2664">
          <cell r="D2664">
            <v>0</v>
          </cell>
        </row>
        <row r="2666">
          <cell r="D2666">
            <v>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0</v>
          </cell>
          <cell r="E2670">
            <v>0</v>
          </cell>
          <cell r="J2670">
            <v>0</v>
          </cell>
          <cell r="K2670">
            <v>0</v>
          </cell>
        </row>
        <row r="2671">
          <cell r="D2671">
            <v>0</v>
          </cell>
          <cell r="E2671">
            <v>0</v>
          </cell>
          <cell r="J2671">
            <v>0</v>
          </cell>
          <cell r="K2671">
            <v>0</v>
          </cell>
        </row>
        <row r="2672">
          <cell r="D2672">
            <v>0</v>
          </cell>
          <cell r="E2672">
            <v>0</v>
          </cell>
          <cell r="J2672">
            <v>0</v>
          </cell>
          <cell r="K2672">
            <v>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0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0</v>
          </cell>
        </row>
        <row r="2694">
          <cell r="K2694">
            <v>0</v>
          </cell>
        </row>
        <row r="2696">
          <cell r="J2696">
            <v>0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23040024</v>
          </cell>
        </row>
        <row r="2702">
          <cell r="D2702">
            <v>0</v>
          </cell>
        </row>
        <row r="2704">
          <cell r="D2704">
            <v>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0</v>
          </cell>
          <cell r="E2708">
            <v>0</v>
          </cell>
          <cell r="J2708">
            <v>0</v>
          </cell>
          <cell r="K2708">
            <v>0</v>
          </cell>
        </row>
        <row r="2709">
          <cell r="D2709">
            <v>0</v>
          </cell>
          <cell r="E2709">
            <v>0</v>
          </cell>
          <cell r="J2709">
            <v>0</v>
          </cell>
          <cell r="K2709">
            <v>0</v>
          </cell>
        </row>
        <row r="2710">
          <cell r="D2710">
            <v>0</v>
          </cell>
          <cell r="E2710">
            <v>0</v>
          </cell>
          <cell r="J2710">
            <v>0</v>
          </cell>
          <cell r="K2710">
            <v>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0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0</v>
          </cell>
        </row>
        <row r="2732">
          <cell r="K2732">
            <v>0</v>
          </cell>
        </row>
        <row r="2734">
          <cell r="J2734">
            <v>0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23040025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K2746">
            <v>0</v>
          </cell>
        </row>
        <row r="2747">
          <cell r="K2747">
            <v>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0</v>
          </cell>
        </row>
        <row r="2770">
          <cell r="K2770">
            <v>0</v>
          </cell>
        </row>
        <row r="2776">
          <cell r="D2776" t="str">
            <v>AM</v>
          </cell>
          <cell r="E2776">
            <v>23040025</v>
          </cell>
        </row>
        <row r="2778">
          <cell r="D2778">
            <v>0</v>
          </cell>
        </row>
        <row r="2780">
          <cell r="D2780">
            <v>0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0</v>
          </cell>
          <cell r="E2784">
            <v>0</v>
          </cell>
          <cell r="J2784">
            <v>0</v>
          </cell>
          <cell r="K2784">
            <v>0</v>
          </cell>
        </row>
        <row r="2785">
          <cell r="D2785">
            <v>0</v>
          </cell>
          <cell r="E2785">
            <v>0</v>
          </cell>
          <cell r="J2785">
            <v>0</v>
          </cell>
          <cell r="K2785">
            <v>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0</v>
          </cell>
        </row>
        <row r="2808">
          <cell r="K2808">
            <v>0</v>
          </cell>
        </row>
        <row r="2810">
          <cell r="J2810">
            <v>0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23040025</v>
          </cell>
        </row>
        <row r="2816">
          <cell r="D2816">
            <v>0</v>
          </cell>
        </row>
        <row r="2818">
          <cell r="D2818">
            <v>0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0</v>
          </cell>
          <cell r="E2822">
            <v>0</v>
          </cell>
          <cell r="J2822">
            <v>0</v>
          </cell>
          <cell r="K2822">
            <v>0</v>
          </cell>
        </row>
        <row r="2823">
          <cell r="D2823">
            <v>0</v>
          </cell>
          <cell r="E2823">
            <v>0</v>
          </cell>
          <cell r="J2823">
            <v>0</v>
          </cell>
          <cell r="K2823">
            <v>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0</v>
          </cell>
        </row>
        <row r="2846">
          <cell r="K2846">
            <v>0</v>
          </cell>
        </row>
        <row r="2848">
          <cell r="J2848">
            <v>0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23040026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K2860">
            <v>0</v>
          </cell>
        </row>
        <row r="2861">
          <cell r="K2861">
            <v>0</v>
          </cell>
        </row>
        <row r="2862">
          <cell r="K2862">
            <v>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0</v>
          </cell>
        </row>
        <row r="2884">
          <cell r="K2884">
            <v>0</v>
          </cell>
        </row>
        <row r="2890">
          <cell r="D2890" t="str">
            <v>AM</v>
          </cell>
          <cell r="E2890">
            <v>23040026</v>
          </cell>
        </row>
        <row r="2892">
          <cell r="D2892">
            <v>0</v>
          </cell>
        </row>
        <row r="2894">
          <cell r="D2894">
            <v>0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0</v>
          </cell>
          <cell r="E2898">
            <v>0</v>
          </cell>
          <cell r="J2898">
            <v>0</v>
          </cell>
          <cell r="K2898">
            <v>0</v>
          </cell>
        </row>
        <row r="2899">
          <cell r="D2899">
            <v>0</v>
          </cell>
          <cell r="E2899">
            <v>0</v>
          </cell>
          <cell r="J2899">
            <v>0</v>
          </cell>
          <cell r="K2899">
            <v>0</v>
          </cell>
        </row>
        <row r="2900">
          <cell r="D2900">
            <v>0</v>
          </cell>
          <cell r="E2900">
            <v>0</v>
          </cell>
          <cell r="J2900">
            <v>0</v>
          </cell>
          <cell r="K2900">
            <v>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0</v>
          </cell>
        </row>
        <row r="2922">
          <cell r="K2922">
            <v>0</v>
          </cell>
        </row>
        <row r="2924">
          <cell r="J2924">
            <v>0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23040026</v>
          </cell>
        </row>
        <row r="2930">
          <cell r="D2930">
            <v>0</v>
          </cell>
        </row>
        <row r="2932">
          <cell r="D2932">
            <v>0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0</v>
          </cell>
          <cell r="E2936">
            <v>0</v>
          </cell>
          <cell r="J2936">
            <v>0</v>
          </cell>
          <cell r="K2936">
            <v>0</v>
          </cell>
        </row>
        <row r="2937">
          <cell r="D2937">
            <v>0</v>
          </cell>
          <cell r="E2937">
            <v>0</v>
          </cell>
          <cell r="J2937">
            <v>0</v>
          </cell>
          <cell r="K2937">
            <v>0</v>
          </cell>
        </row>
        <row r="2938">
          <cell r="D2938">
            <v>0</v>
          </cell>
          <cell r="E2938">
            <v>0</v>
          </cell>
          <cell r="J2938">
            <v>0</v>
          </cell>
          <cell r="K2938">
            <v>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0</v>
          </cell>
        </row>
        <row r="2960">
          <cell r="K2960">
            <v>0</v>
          </cell>
        </row>
        <row r="2962">
          <cell r="J2962">
            <v>0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23040027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K2974">
            <v>0</v>
          </cell>
        </row>
        <row r="2975">
          <cell r="K2975">
            <v>0</v>
          </cell>
        </row>
        <row r="2976">
          <cell r="K2976">
            <v>0</v>
          </cell>
        </row>
        <row r="2977">
          <cell r="K2977">
            <v>0</v>
          </cell>
        </row>
        <row r="2978">
          <cell r="K2978">
            <v>0</v>
          </cell>
        </row>
        <row r="2979">
          <cell r="K2979">
            <v>0</v>
          </cell>
        </row>
        <row r="2980">
          <cell r="K2980">
            <v>0</v>
          </cell>
        </row>
        <row r="2981">
          <cell r="K2981">
            <v>0</v>
          </cell>
        </row>
        <row r="2982">
          <cell r="K2982">
            <v>0</v>
          </cell>
        </row>
        <row r="2983">
          <cell r="K2983">
            <v>0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0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0</v>
          </cell>
        </row>
        <row r="2998">
          <cell r="K2998">
            <v>0</v>
          </cell>
        </row>
        <row r="3004">
          <cell r="D3004" t="str">
            <v>AM</v>
          </cell>
          <cell r="E3004">
            <v>23040027</v>
          </cell>
        </row>
        <row r="3006">
          <cell r="D3006">
            <v>0</v>
          </cell>
        </row>
        <row r="3008">
          <cell r="D3008">
            <v>0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0</v>
          </cell>
          <cell r="E3012">
            <v>0</v>
          </cell>
          <cell r="J3012">
            <v>0</v>
          </cell>
          <cell r="K3012">
            <v>0</v>
          </cell>
        </row>
        <row r="3013">
          <cell r="D3013">
            <v>0</v>
          </cell>
          <cell r="E3013">
            <v>0</v>
          </cell>
          <cell r="J3013">
            <v>0</v>
          </cell>
          <cell r="K3013">
            <v>0</v>
          </cell>
        </row>
        <row r="3014">
          <cell r="D3014">
            <v>0</v>
          </cell>
          <cell r="E3014">
            <v>0</v>
          </cell>
          <cell r="J3014">
            <v>0</v>
          </cell>
          <cell r="K3014">
            <v>0</v>
          </cell>
        </row>
        <row r="3015">
          <cell r="D3015">
            <v>0</v>
          </cell>
          <cell r="E3015">
            <v>0</v>
          </cell>
          <cell r="J3015">
            <v>0</v>
          </cell>
          <cell r="K3015">
            <v>0</v>
          </cell>
        </row>
        <row r="3016">
          <cell r="D3016">
            <v>0</v>
          </cell>
          <cell r="E3016">
            <v>0</v>
          </cell>
          <cell r="J3016">
            <v>0</v>
          </cell>
          <cell r="K3016">
            <v>0</v>
          </cell>
        </row>
        <row r="3017">
          <cell r="D3017">
            <v>0</v>
          </cell>
          <cell r="E3017">
            <v>0</v>
          </cell>
          <cell r="J3017">
            <v>0</v>
          </cell>
          <cell r="K3017">
            <v>0</v>
          </cell>
        </row>
        <row r="3018">
          <cell r="D3018">
            <v>0</v>
          </cell>
          <cell r="E3018">
            <v>0</v>
          </cell>
          <cell r="J3018">
            <v>0</v>
          </cell>
          <cell r="K3018">
            <v>0</v>
          </cell>
        </row>
        <row r="3019">
          <cell r="D3019">
            <v>0</v>
          </cell>
          <cell r="E3019">
            <v>0</v>
          </cell>
          <cell r="J3019">
            <v>0</v>
          </cell>
          <cell r="K3019">
            <v>0</v>
          </cell>
        </row>
        <row r="3020">
          <cell r="D3020">
            <v>0</v>
          </cell>
          <cell r="E3020">
            <v>0</v>
          </cell>
          <cell r="J3020">
            <v>0</v>
          </cell>
          <cell r="K3020">
            <v>0</v>
          </cell>
        </row>
        <row r="3021">
          <cell r="D3021">
            <v>0</v>
          </cell>
          <cell r="E3021">
            <v>0</v>
          </cell>
          <cell r="J3021">
            <v>0</v>
          </cell>
          <cell r="K3021">
            <v>0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0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0</v>
          </cell>
        </row>
        <row r="3036">
          <cell r="K3036">
            <v>0</v>
          </cell>
        </row>
        <row r="3038">
          <cell r="J3038">
            <v>0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23040027</v>
          </cell>
        </row>
        <row r="3044">
          <cell r="D3044">
            <v>0</v>
          </cell>
        </row>
        <row r="3046">
          <cell r="D3046">
            <v>0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0</v>
          </cell>
          <cell r="E3050">
            <v>0</v>
          </cell>
          <cell r="J3050">
            <v>0</v>
          </cell>
          <cell r="K3050">
            <v>0</v>
          </cell>
        </row>
        <row r="3051">
          <cell r="D3051">
            <v>0</v>
          </cell>
          <cell r="E3051">
            <v>0</v>
          </cell>
          <cell r="J3051">
            <v>0</v>
          </cell>
          <cell r="K3051">
            <v>0</v>
          </cell>
        </row>
        <row r="3052">
          <cell r="D3052">
            <v>0</v>
          </cell>
          <cell r="E3052">
            <v>0</v>
          </cell>
          <cell r="J3052">
            <v>0</v>
          </cell>
          <cell r="K3052">
            <v>0</v>
          </cell>
        </row>
        <row r="3053">
          <cell r="D3053">
            <v>0</v>
          </cell>
          <cell r="E3053">
            <v>0</v>
          </cell>
          <cell r="J3053">
            <v>0</v>
          </cell>
          <cell r="K3053">
            <v>0</v>
          </cell>
        </row>
        <row r="3054">
          <cell r="D3054">
            <v>0</v>
          </cell>
          <cell r="E3054">
            <v>0</v>
          </cell>
          <cell r="J3054">
            <v>0</v>
          </cell>
          <cell r="K3054">
            <v>0</v>
          </cell>
        </row>
        <row r="3055">
          <cell r="D3055">
            <v>0</v>
          </cell>
          <cell r="E3055">
            <v>0</v>
          </cell>
          <cell r="J3055">
            <v>0</v>
          </cell>
          <cell r="K3055">
            <v>0</v>
          </cell>
        </row>
        <row r="3056">
          <cell r="D3056">
            <v>0</v>
          </cell>
          <cell r="E3056">
            <v>0</v>
          </cell>
          <cell r="J3056">
            <v>0</v>
          </cell>
          <cell r="K3056">
            <v>0</v>
          </cell>
        </row>
        <row r="3057">
          <cell r="D3057">
            <v>0</v>
          </cell>
          <cell r="E3057">
            <v>0</v>
          </cell>
          <cell r="J3057">
            <v>0</v>
          </cell>
          <cell r="K3057">
            <v>0</v>
          </cell>
        </row>
        <row r="3058">
          <cell r="D3058">
            <v>0</v>
          </cell>
          <cell r="E3058">
            <v>0</v>
          </cell>
          <cell r="J3058">
            <v>0</v>
          </cell>
          <cell r="K3058">
            <v>0</v>
          </cell>
        </row>
        <row r="3059">
          <cell r="D3059">
            <v>0</v>
          </cell>
          <cell r="E3059">
            <v>0</v>
          </cell>
          <cell r="J3059">
            <v>0</v>
          </cell>
          <cell r="K3059">
            <v>0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0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0</v>
          </cell>
        </row>
        <row r="3074">
          <cell r="K3074">
            <v>0</v>
          </cell>
        </row>
        <row r="3076">
          <cell r="J3076">
            <v>0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23040028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K3088">
            <v>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0</v>
          </cell>
        </row>
        <row r="3112">
          <cell r="K3112">
            <v>0</v>
          </cell>
        </row>
        <row r="3118">
          <cell r="D3118" t="str">
            <v>AM</v>
          </cell>
          <cell r="E3118">
            <v>23040028</v>
          </cell>
        </row>
        <row r="3120">
          <cell r="D3120">
            <v>0</v>
          </cell>
        </row>
        <row r="3122">
          <cell r="D3122">
            <v>0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0</v>
          </cell>
          <cell r="E3126">
            <v>0</v>
          </cell>
          <cell r="J3126">
            <v>0</v>
          </cell>
          <cell r="K3126">
            <v>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0</v>
          </cell>
        </row>
        <row r="3150">
          <cell r="K3150">
            <v>0</v>
          </cell>
        </row>
        <row r="3152">
          <cell r="J3152">
            <v>0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23040028</v>
          </cell>
        </row>
        <row r="3158">
          <cell r="D3158">
            <v>0</v>
          </cell>
        </row>
        <row r="3160">
          <cell r="D3160">
            <v>0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0</v>
          </cell>
          <cell r="E3164">
            <v>0</v>
          </cell>
          <cell r="J3164">
            <v>0</v>
          </cell>
          <cell r="K3164">
            <v>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0</v>
          </cell>
        </row>
        <row r="3188">
          <cell r="K3188">
            <v>0</v>
          </cell>
        </row>
        <row r="3190">
          <cell r="J3190">
            <v>0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23040029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K3202">
            <v>0</v>
          </cell>
        </row>
        <row r="3203">
          <cell r="K3203">
            <v>0</v>
          </cell>
        </row>
        <row r="3204">
          <cell r="K3204">
            <v>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0</v>
          </cell>
        </row>
        <row r="3226">
          <cell r="K3226">
            <v>0</v>
          </cell>
        </row>
        <row r="3232">
          <cell r="D3232" t="str">
            <v>AM</v>
          </cell>
          <cell r="E3232">
            <v>23040029</v>
          </cell>
        </row>
        <row r="3234">
          <cell r="D3234">
            <v>0</v>
          </cell>
        </row>
        <row r="3236">
          <cell r="D3236">
            <v>0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0</v>
          </cell>
          <cell r="E3240">
            <v>0</v>
          </cell>
          <cell r="J3240">
            <v>0</v>
          </cell>
          <cell r="K3240">
            <v>0</v>
          </cell>
        </row>
        <row r="3241">
          <cell r="D3241">
            <v>0</v>
          </cell>
          <cell r="E3241">
            <v>0</v>
          </cell>
          <cell r="J3241">
            <v>0</v>
          </cell>
          <cell r="K3241">
            <v>0</v>
          </cell>
        </row>
        <row r="3242">
          <cell r="D3242">
            <v>0</v>
          </cell>
          <cell r="E3242">
            <v>0</v>
          </cell>
          <cell r="J3242">
            <v>0</v>
          </cell>
          <cell r="K3242">
            <v>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0</v>
          </cell>
        </row>
        <row r="3264">
          <cell r="K3264">
            <v>0</v>
          </cell>
        </row>
        <row r="3266">
          <cell r="J3266">
            <v>0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23040029</v>
          </cell>
        </row>
        <row r="3272">
          <cell r="D3272">
            <v>0</v>
          </cell>
        </row>
        <row r="3274">
          <cell r="D3274">
            <v>0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0</v>
          </cell>
          <cell r="E3278">
            <v>0</v>
          </cell>
          <cell r="J3278">
            <v>0</v>
          </cell>
          <cell r="K3278">
            <v>0</v>
          </cell>
        </row>
        <row r="3279">
          <cell r="D3279">
            <v>0</v>
          </cell>
          <cell r="E3279">
            <v>0</v>
          </cell>
          <cell r="J3279">
            <v>0</v>
          </cell>
          <cell r="K3279">
            <v>0</v>
          </cell>
        </row>
        <row r="3280">
          <cell r="D3280">
            <v>0</v>
          </cell>
          <cell r="E3280">
            <v>0</v>
          </cell>
          <cell r="J3280">
            <v>0</v>
          </cell>
          <cell r="K3280">
            <v>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0</v>
          </cell>
        </row>
        <row r="3302">
          <cell r="K3302">
            <v>0</v>
          </cell>
        </row>
        <row r="3304">
          <cell r="J3304">
            <v>0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23040030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K3316">
            <v>0</v>
          </cell>
        </row>
        <row r="3317">
          <cell r="K3317">
            <v>0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0</v>
          </cell>
        </row>
        <row r="3340">
          <cell r="K3340">
            <v>0</v>
          </cell>
        </row>
        <row r="3346">
          <cell r="D3346" t="str">
            <v>AM</v>
          </cell>
          <cell r="E3346">
            <v>23040030</v>
          </cell>
        </row>
        <row r="3348">
          <cell r="D3348">
            <v>0</v>
          </cell>
        </row>
        <row r="3350">
          <cell r="D3350">
            <v>0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0</v>
          </cell>
          <cell r="E3354">
            <v>0</v>
          </cell>
          <cell r="J3354">
            <v>0</v>
          </cell>
          <cell r="K3354">
            <v>0</v>
          </cell>
        </row>
        <row r="3355">
          <cell r="D3355">
            <v>0</v>
          </cell>
          <cell r="E3355">
            <v>0</v>
          </cell>
          <cell r="J3355">
            <v>0</v>
          </cell>
          <cell r="K3355">
            <v>0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0</v>
          </cell>
        </row>
        <row r="3378">
          <cell r="K3378">
            <v>0</v>
          </cell>
        </row>
        <row r="3380">
          <cell r="J3380">
            <v>0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23040030</v>
          </cell>
        </row>
        <row r="3386">
          <cell r="D3386">
            <v>0</v>
          </cell>
        </row>
        <row r="3388">
          <cell r="D3388">
            <v>0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0</v>
          </cell>
          <cell r="E3392">
            <v>0</v>
          </cell>
          <cell r="J3392">
            <v>0</v>
          </cell>
          <cell r="K3392">
            <v>0</v>
          </cell>
        </row>
        <row r="3393">
          <cell r="D3393">
            <v>0</v>
          </cell>
          <cell r="E3393">
            <v>0</v>
          </cell>
          <cell r="J3393">
            <v>0</v>
          </cell>
          <cell r="K3393">
            <v>0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0</v>
          </cell>
        </row>
        <row r="3416">
          <cell r="K3416">
            <v>0</v>
          </cell>
        </row>
        <row r="3418">
          <cell r="J3418">
            <v>0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23040031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K3430">
            <v>0</v>
          </cell>
        </row>
        <row r="3431">
          <cell r="K3431">
            <v>0</v>
          </cell>
        </row>
        <row r="3432">
          <cell r="K3432">
            <v>0</v>
          </cell>
        </row>
        <row r="3433">
          <cell r="K3433">
            <v>0</v>
          </cell>
        </row>
        <row r="3434">
          <cell r="K3434">
            <v>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0</v>
          </cell>
        </row>
        <row r="3454">
          <cell r="K3454">
            <v>0</v>
          </cell>
        </row>
        <row r="3460">
          <cell r="D3460" t="str">
            <v>AM</v>
          </cell>
          <cell r="E3460">
            <v>23040031</v>
          </cell>
        </row>
        <row r="3462">
          <cell r="D3462">
            <v>0</v>
          </cell>
        </row>
        <row r="3464">
          <cell r="D3464">
            <v>0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>
            <v>0</v>
          </cell>
          <cell r="E3468">
            <v>0</v>
          </cell>
          <cell r="J3468">
            <v>0</v>
          </cell>
          <cell r="K3468">
            <v>0</v>
          </cell>
        </row>
        <row r="3469">
          <cell r="D3469">
            <v>0</v>
          </cell>
          <cell r="E3469">
            <v>0</v>
          </cell>
          <cell r="J3469">
            <v>0</v>
          </cell>
          <cell r="K3469">
            <v>0</v>
          </cell>
        </row>
        <row r="3470">
          <cell r="D3470">
            <v>0</v>
          </cell>
          <cell r="E3470">
            <v>0</v>
          </cell>
          <cell r="J3470">
            <v>0</v>
          </cell>
          <cell r="K3470">
            <v>0</v>
          </cell>
        </row>
        <row r="3471">
          <cell r="D3471">
            <v>0</v>
          </cell>
          <cell r="E3471">
            <v>0</v>
          </cell>
          <cell r="J3471">
            <v>0</v>
          </cell>
          <cell r="K3471">
            <v>0</v>
          </cell>
        </row>
        <row r="3472">
          <cell r="D3472">
            <v>0</v>
          </cell>
          <cell r="E3472">
            <v>0</v>
          </cell>
          <cell r="J3472">
            <v>0</v>
          </cell>
          <cell r="K3472">
            <v>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0</v>
          </cell>
        </row>
        <row r="3492">
          <cell r="K3492">
            <v>0</v>
          </cell>
        </row>
        <row r="3494">
          <cell r="J3494">
            <v>0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23040031</v>
          </cell>
        </row>
        <row r="3500">
          <cell r="D3500">
            <v>0</v>
          </cell>
        </row>
        <row r="3502">
          <cell r="D3502">
            <v>0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>
            <v>0</v>
          </cell>
          <cell r="E3506">
            <v>0</v>
          </cell>
          <cell r="J3506">
            <v>0</v>
          </cell>
          <cell r="K3506">
            <v>0</v>
          </cell>
        </row>
        <row r="3507">
          <cell r="D3507">
            <v>0</v>
          </cell>
          <cell r="E3507">
            <v>0</v>
          </cell>
          <cell r="J3507">
            <v>0</v>
          </cell>
          <cell r="K3507">
            <v>0</v>
          </cell>
        </row>
        <row r="3508">
          <cell r="D3508">
            <v>0</v>
          </cell>
          <cell r="E3508">
            <v>0</v>
          </cell>
          <cell r="J3508">
            <v>0</v>
          </cell>
          <cell r="K3508">
            <v>0</v>
          </cell>
        </row>
        <row r="3509">
          <cell r="D3509">
            <v>0</v>
          </cell>
          <cell r="E3509">
            <v>0</v>
          </cell>
          <cell r="J3509">
            <v>0</v>
          </cell>
          <cell r="K3509">
            <v>0</v>
          </cell>
        </row>
        <row r="3510">
          <cell r="D3510">
            <v>0</v>
          </cell>
          <cell r="E3510">
            <v>0</v>
          </cell>
          <cell r="J3510">
            <v>0</v>
          </cell>
          <cell r="K3510">
            <v>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0</v>
          </cell>
        </row>
        <row r="3530">
          <cell r="K3530">
            <v>0</v>
          </cell>
        </row>
        <row r="3532">
          <cell r="J3532">
            <v>0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23040032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K3544">
            <v>0</v>
          </cell>
        </row>
        <row r="3545">
          <cell r="K3545">
            <v>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0</v>
          </cell>
        </row>
        <row r="3568">
          <cell r="K3568">
            <v>0</v>
          </cell>
        </row>
        <row r="3574">
          <cell r="D3574" t="str">
            <v>AM</v>
          </cell>
          <cell r="E3574">
            <v>23040032</v>
          </cell>
        </row>
        <row r="3576">
          <cell r="D3576">
            <v>0</v>
          </cell>
        </row>
        <row r="3578">
          <cell r="D3578">
            <v>0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0</v>
          </cell>
          <cell r="E3582">
            <v>0</v>
          </cell>
          <cell r="J3582">
            <v>0</v>
          </cell>
          <cell r="K3582">
            <v>0</v>
          </cell>
        </row>
        <row r="3583">
          <cell r="D3583">
            <v>0</v>
          </cell>
          <cell r="E3583">
            <v>0</v>
          </cell>
          <cell r="J3583">
            <v>0</v>
          </cell>
          <cell r="K3583">
            <v>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0</v>
          </cell>
        </row>
        <row r="3606">
          <cell r="K3606">
            <v>0</v>
          </cell>
        </row>
        <row r="3608">
          <cell r="J3608">
            <v>0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23040032</v>
          </cell>
        </row>
        <row r="3614">
          <cell r="D3614">
            <v>0</v>
          </cell>
        </row>
        <row r="3616">
          <cell r="D3616">
            <v>0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0</v>
          </cell>
          <cell r="E3620">
            <v>0</v>
          </cell>
          <cell r="J3620">
            <v>0</v>
          </cell>
          <cell r="K3620">
            <v>0</v>
          </cell>
        </row>
        <row r="3621">
          <cell r="D3621">
            <v>0</v>
          </cell>
          <cell r="E3621">
            <v>0</v>
          </cell>
          <cell r="J3621">
            <v>0</v>
          </cell>
          <cell r="K3621">
            <v>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0</v>
          </cell>
        </row>
        <row r="3644">
          <cell r="K3644">
            <v>0</v>
          </cell>
        </row>
        <row r="3646">
          <cell r="J3646">
            <v>0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23040033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K3658">
            <v>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0</v>
          </cell>
        </row>
        <row r="3682">
          <cell r="K3682">
            <v>0</v>
          </cell>
        </row>
        <row r="3688">
          <cell r="D3688" t="str">
            <v>AM</v>
          </cell>
          <cell r="E3688">
            <v>23040033</v>
          </cell>
        </row>
        <row r="3690">
          <cell r="D3690">
            <v>0</v>
          </cell>
        </row>
        <row r="3692">
          <cell r="D3692">
            <v>0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0</v>
          </cell>
          <cell r="E3696">
            <v>0</v>
          </cell>
          <cell r="J3696">
            <v>0</v>
          </cell>
          <cell r="K3696">
            <v>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0</v>
          </cell>
        </row>
        <row r="3720">
          <cell r="K3720">
            <v>0</v>
          </cell>
        </row>
        <row r="3722">
          <cell r="J3722">
            <v>0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23040033</v>
          </cell>
        </row>
        <row r="3728">
          <cell r="D3728">
            <v>0</v>
          </cell>
        </row>
        <row r="3730">
          <cell r="D3730">
            <v>0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0</v>
          </cell>
          <cell r="E3734">
            <v>0</v>
          </cell>
          <cell r="J3734">
            <v>0</v>
          </cell>
          <cell r="K3734">
            <v>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0</v>
          </cell>
        </row>
        <row r="3758">
          <cell r="K3758">
            <v>0</v>
          </cell>
        </row>
        <row r="3760">
          <cell r="J3760">
            <v>0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23040034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K3772">
            <v>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0</v>
          </cell>
        </row>
        <row r="3796">
          <cell r="K3796">
            <v>0</v>
          </cell>
        </row>
        <row r="3802">
          <cell r="D3802" t="str">
            <v>AM</v>
          </cell>
          <cell r="E3802">
            <v>23040034</v>
          </cell>
        </row>
        <row r="3804">
          <cell r="D3804">
            <v>0</v>
          </cell>
        </row>
        <row r="3806">
          <cell r="D3806">
            <v>0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0</v>
          </cell>
          <cell r="E3810">
            <v>0</v>
          </cell>
          <cell r="J3810">
            <v>0</v>
          </cell>
          <cell r="K3810">
            <v>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0</v>
          </cell>
        </row>
        <row r="3834">
          <cell r="K3834">
            <v>0</v>
          </cell>
        </row>
        <row r="3836">
          <cell r="J3836">
            <v>0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23040034</v>
          </cell>
        </row>
        <row r="3842">
          <cell r="D3842">
            <v>0</v>
          </cell>
        </row>
        <row r="3844">
          <cell r="D3844">
            <v>0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0</v>
          </cell>
          <cell r="E3848">
            <v>0</v>
          </cell>
          <cell r="J3848">
            <v>0</v>
          </cell>
          <cell r="K3848">
            <v>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0</v>
          </cell>
        </row>
        <row r="3872">
          <cell r="K3872">
            <v>0</v>
          </cell>
        </row>
        <row r="3874">
          <cell r="J3874">
            <v>0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23040035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K3886">
            <v>0</v>
          </cell>
        </row>
        <row r="3887">
          <cell r="K3887">
            <v>0</v>
          </cell>
        </row>
        <row r="3888">
          <cell r="K3888">
            <v>0</v>
          </cell>
        </row>
        <row r="3889">
          <cell r="K3889">
            <v>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0</v>
          </cell>
        </row>
        <row r="3910">
          <cell r="K3910">
            <v>0</v>
          </cell>
        </row>
        <row r="3916">
          <cell r="D3916" t="str">
            <v>AM</v>
          </cell>
          <cell r="E3916">
            <v>23040035</v>
          </cell>
        </row>
        <row r="3918">
          <cell r="D3918">
            <v>0</v>
          </cell>
        </row>
        <row r="3920">
          <cell r="D3920">
            <v>0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0</v>
          </cell>
          <cell r="E3924">
            <v>0</v>
          </cell>
          <cell r="J3924">
            <v>0</v>
          </cell>
          <cell r="K3924">
            <v>0</v>
          </cell>
        </row>
        <row r="3925">
          <cell r="D3925">
            <v>0</v>
          </cell>
          <cell r="E3925">
            <v>0</v>
          </cell>
          <cell r="J3925">
            <v>0</v>
          </cell>
          <cell r="K3925">
            <v>0</v>
          </cell>
        </row>
        <row r="3926">
          <cell r="D3926">
            <v>0</v>
          </cell>
          <cell r="E3926">
            <v>0</v>
          </cell>
          <cell r="J3926">
            <v>0</v>
          </cell>
          <cell r="K3926">
            <v>0</v>
          </cell>
        </row>
        <row r="3927">
          <cell r="D3927">
            <v>0</v>
          </cell>
          <cell r="E3927">
            <v>0</v>
          </cell>
          <cell r="J3927">
            <v>0</v>
          </cell>
          <cell r="K3927">
            <v>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0</v>
          </cell>
        </row>
        <row r="3948">
          <cell r="K3948">
            <v>0</v>
          </cell>
        </row>
        <row r="3950">
          <cell r="J3950">
            <v>0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23040035</v>
          </cell>
        </row>
        <row r="3956">
          <cell r="D3956">
            <v>0</v>
          </cell>
        </row>
        <row r="3958">
          <cell r="D3958">
            <v>0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0</v>
          </cell>
          <cell r="E3962">
            <v>0</v>
          </cell>
          <cell r="J3962">
            <v>0</v>
          </cell>
          <cell r="K3962">
            <v>0</v>
          </cell>
        </row>
        <row r="3963">
          <cell r="D3963">
            <v>0</v>
          </cell>
          <cell r="E3963">
            <v>0</v>
          </cell>
          <cell r="J3963">
            <v>0</v>
          </cell>
          <cell r="K3963">
            <v>0</v>
          </cell>
        </row>
        <row r="3964">
          <cell r="D3964">
            <v>0</v>
          </cell>
          <cell r="E3964">
            <v>0</v>
          </cell>
          <cell r="J3964">
            <v>0</v>
          </cell>
          <cell r="K3964">
            <v>0</v>
          </cell>
        </row>
        <row r="3965">
          <cell r="D3965">
            <v>0</v>
          </cell>
          <cell r="E3965">
            <v>0</v>
          </cell>
          <cell r="J3965">
            <v>0</v>
          </cell>
          <cell r="K3965">
            <v>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0</v>
          </cell>
        </row>
        <row r="3986">
          <cell r="K3986">
            <v>0</v>
          </cell>
        </row>
        <row r="3988">
          <cell r="J3988">
            <v>0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23040036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K4000">
            <v>0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0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0</v>
          </cell>
        </row>
        <row r="4024">
          <cell r="K4024">
            <v>0</v>
          </cell>
        </row>
        <row r="4030">
          <cell r="D4030" t="str">
            <v>AM</v>
          </cell>
          <cell r="E4030">
            <v>23040036</v>
          </cell>
        </row>
        <row r="4032">
          <cell r="D4032">
            <v>0</v>
          </cell>
        </row>
        <row r="4034">
          <cell r="D4034">
            <v>0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0</v>
          </cell>
          <cell r="E4038">
            <v>0</v>
          </cell>
          <cell r="J4038">
            <v>0</v>
          </cell>
          <cell r="K4038">
            <v>0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0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0</v>
          </cell>
        </row>
        <row r="4062">
          <cell r="K4062">
            <v>0</v>
          </cell>
        </row>
        <row r="4064">
          <cell r="J4064">
            <v>0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23040036</v>
          </cell>
        </row>
        <row r="4070">
          <cell r="D4070">
            <v>0</v>
          </cell>
        </row>
        <row r="4072">
          <cell r="D4072">
            <v>0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0</v>
          </cell>
          <cell r="E4076">
            <v>0</v>
          </cell>
          <cell r="J4076">
            <v>0</v>
          </cell>
          <cell r="K4076">
            <v>0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0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0</v>
          </cell>
        </row>
        <row r="4100">
          <cell r="K4100">
            <v>0</v>
          </cell>
        </row>
        <row r="4102">
          <cell r="J4102">
            <v>0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23040037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K4114">
            <v>0</v>
          </cell>
        </row>
        <row r="4115">
          <cell r="K4115">
            <v>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0</v>
          </cell>
        </row>
        <row r="4138">
          <cell r="K4138">
            <v>0</v>
          </cell>
        </row>
        <row r="4144">
          <cell r="D4144" t="str">
            <v>AM</v>
          </cell>
          <cell r="E4144">
            <v>23040037</v>
          </cell>
        </row>
        <row r="4146">
          <cell r="D4146">
            <v>0</v>
          </cell>
        </row>
        <row r="4148">
          <cell r="D4148">
            <v>0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0</v>
          </cell>
          <cell r="E4152">
            <v>0</v>
          </cell>
          <cell r="J4152">
            <v>0</v>
          </cell>
          <cell r="K4152">
            <v>0</v>
          </cell>
        </row>
        <row r="4153">
          <cell r="D4153">
            <v>0</v>
          </cell>
          <cell r="E4153">
            <v>0</v>
          </cell>
          <cell r="J4153">
            <v>0</v>
          </cell>
          <cell r="K4153">
            <v>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0</v>
          </cell>
        </row>
        <row r="4176">
          <cell r="K4176">
            <v>0</v>
          </cell>
        </row>
        <row r="4178">
          <cell r="J4178">
            <v>0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23040037</v>
          </cell>
        </row>
        <row r="4184">
          <cell r="D4184">
            <v>0</v>
          </cell>
        </row>
        <row r="4186">
          <cell r="D4186">
            <v>0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0</v>
          </cell>
          <cell r="E4190">
            <v>0</v>
          </cell>
          <cell r="J4190">
            <v>0</v>
          </cell>
          <cell r="K4190">
            <v>0</v>
          </cell>
        </row>
        <row r="4191">
          <cell r="D4191">
            <v>0</v>
          </cell>
          <cell r="E4191">
            <v>0</v>
          </cell>
          <cell r="J4191">
            <v>0</v>
          </cell>
          <cell r="K4191">
            <v>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0</v>
          </cell>
        </row>
        <row r="4214">
          <cell r="K4214">
            <v>0</v>
          </cell>
        </row>
        <row r="4216">
          <cell r="J4216">
            <v>0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23040038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K4228">
            <v>0</v>
          </cell>
        </row>
        <row r="4229">
          <cell r="K4229">
            <v>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0</v>
          </cell>
        </row>
        <row r="4252">
          <cell r="K4252">
            <v>0</v>
          </cell>
        </row>
        <row r="4258">
          <cell r="D4258" t="str">
            <v>AM</v>
          </cell>
          <cell r="E4258">
            <v>23040038</v>
          </cell>
        </row>
        <row r="4260">
          <cell r="D4260">
            <v>0</v>
          </cell>
        </row>
        <row r="4262">
          <cell r="D4262">
            <v>0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0</v>
          </cell>
          <cell r="E4266">
            <v>0</v>
          </cell>
          <cell r="J4266">
            <v>0</v>
          </cell>
          <cell r="K4266">
            <v>0</v>
          </cell>
        </row>
        <row r="4267">
          <cell r="D4267">
            <v>0</v>
          </cell>
          <cell r="E4267">
            <v>0</v>
          </cell>
          <cell r="J4267">
            <v>0</v>
          </cell>
          <cell r="K4267">
            <v>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0</v>
          </cell>
        </row>
        <row r="4290">
          <cell r="K4290">
            <v>0</v>
          </cell>
        </row>
        <row r="4292">
          <cell r="J4292">
            <v>0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23040038</v>
          </cell>
        </row>
        <row r="4298">
          <cell r="D4298">
            <v>0</v>
          </cell>
        </row>
        <row r="4300">
          <cell r="D4300">
            <v>0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0</v>
          </cell>
          <cell r="E4304">
            <v>0</v>
          </cell>
          <cell r="J4304">
            <v>0</v>
          </cell>
          <cell r="K4304">
            <v>0</v>
          </cell>
        </row>
        <row r="4305">
          <cell r="D4305">
            <v>0</v>
          </cell>
          <cell r="E4305">
            <v>0</v>
          </cell>
          <cell r="J4305">
            <v>0</v>
          </cell>
          <cell r="K4305">
            <v>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0</v>
          </cell>
        </row>
        <row r="4328">
          <cell r="K4328">
            <v>0</v>
          </cell>
        </row>
        <row r="4330">
          <cell r="J4330">
            <v>0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23040039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K4342">
            <v>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0</v>
          </cell>
        </row>
        <row r="4366">
          <cell r="K4366">
            <v>0</v>
          </cell>
        </row>
        <row r="4372">
          <cell r="D4372" t="str">
            <v>AM</v>
          </cell>
          <cell r="E4372">
            <v>23040039</v>
          </cell>
        </row>
        <row r="4374">
          <cell r="D4374">
            <v>0</v>
          </cell>
        </row>
        <row r="4376">
          <cell r="D4376">
            <v>0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0</v>
          </cell>
          <cell r="E4380">
            <v>0</v>
          </cell>
          <cell r="J4380">
            <v>0</v>
          </cell>
          <cell r="K4380">
            <v>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0</v>
          </cell>
        </row>
        <row r="4404">
          <cell r="K4404">
            <v>0</v>
          </cell>
        </row>
        <row r="4406">
          <cell r="J4406">
            <v>0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23040039</v>
          </cell>
        </row>
        <row r="4412">
          <cell r="D4412">
            <v>0</v>
          </cell>
        </row>
        <row r="4414">
          <cell r="D4414">
            <v>0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0</v>
          </cell>
          <cell r="E4418">
            <v>0</v>
          </cell>
          <cell r="J4418">
            <v>0</v>
          </cell>
          <cell r="K4418">
            <v>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0</v>
          </cell>
        </row>
        <row r="4442">
          <cell r="K4442">
            <v>0</v>
          </cell>
        </row>
        <row r="4444">
          <cell r="J4444">
            <v>0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23040040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K4456">
            <v>0</v>
          </cell>
        </row>
        <row r="4457">
          <cell r="K4457">
            <v>0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0</v>
          </cell>
        </row>
        <row r="4480">
          <cell r="K4480">
            <v>0</v>
          </cell>
        </row>
        <row r="4486">
          <cell r="D4486" t="str">
            <v>AM</v>
          </cell>
          <cell r="E4486">
            <v>23040040</v>
          </cell>
        </row>
        <row r="4488">
          <cell r="D4488">
            <v>0</v>
          </cell>
        </row>
        <row r="4490">
          <cell r="D4490">
            <v>0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0</v>
          </cell>
          <cell r="E4494">
            <v>0</v>
          </cell>
          <cell r="J4494">
            <v>0</v>
          </cell>
          <cell r="K4494">
            <v>0</v>
          </cell>
        </row>
        <row r="4495">
          <cell r="D4495">
            <v>0</v>
          </cell>
          <cell r="E4495">
            <v>0</v>
          </cell>
          <cell r="J4495">
            <v>0</v>
          </cell>
          <cell r="K4495">
            <v>0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0</v>
          </cell>
        </row>
        <row r="4518">
          <cell r="K4518">
            <v>0</v>
          </cell>
        </row>
        <row r="4520">
          <cell r="J4520">
            <v>0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23040040</v>
          </cell>
        </row>
        <row r="4526">
          <cell r="D4526">
            <v>0</v>
          </cell>
        </row>
        <row r="4528">
          <cell r="D4528">
            <v>0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0</v>
          </cell>
          <cell r="E4532">
            <v>0</v>
          </cell>
          <cell r="J4532">
            <v>0</v>
          </cell>
          <cell r="K4532">
            <v>0</v>
          </cell>
        </row>
        <row r="4533">
          <cell r="D4533">
            <v>0</v>
          </cell>
          <cell r="E4533">
            <v>0</v>
          </cell>
          <cell r="J4533">
            <v>0</v>
          </cell>
          <cell r="K4533">
            <v>0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0</v>
          </cell>
        </row>
        <row r="4556">
          <cell r="K4556">
            <v>0</v>
          </cell>
        </row>
        <row r="4558">
          <cell r="J4558">
            <v>0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23040041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K4570">
            <v>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0</v>
          </cell>
        </row>
        <row r="4594">
          <cell r="K4594">
            <v>0</v>
          </cell>
        </row>
        <row r="4600">
          <cell r="D4600" t="str">
            <v>AM</v>
          </cell>
          <cell r="E4600">
            <v>23040041</v>
          </cell>
        </row>
        <row r="4602">
          <cell r="D4602">
            <v>0</v>
          </cell>
        </row>
        <row r="4604">
          <cell r="D4604">
            <v>0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>
            <v>0</v>
          </cell>
          <cell r="J4608">
            <v>0</v>
          </cell>
          <cell r="K4608">
            <v>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0</v>
          </cell>
        </row>
        <row r="4632">
          <cell r="K4632">
            <v>0</v>
          </cell>
        </row>
        <row r="4634">
          <cell r="J4634">
            <v>0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23040041</v>
          </cell>
        </row>
        <row r="4640">
          <cell r="D4640">
            <v>0</v>
          </cell>
        </row>
        <row r="4642">
          <cell r="D4642">
            <v>0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>
            <v>0</v>
          </cell>
          <cell r="J4646">
            <v>0</v>
          </cell>
          <cell r="K4646">
            <v>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0</v>
          </cell>
        </row>
        <row r="4670">
          <cell r="K4670">
            <v>0</v>
          </cell>
        </row>
        <row r="4672">
          <cell r="J4672">
            <v>0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23040042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K4684">
            <v>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0</v>
          </cell>
        </row>
        <row r="4708">
          <cell r="K4708">
            <v>0</v>
          </cell>
        </row>
        <row r="4714">
          <cell r="D4714" t="str">
            <v>AM</v>
          </cell>
          <cell r="E4714">
            <v>23040042</v>
          </cell>
        </row>
        <row r="4716">
          <cell r="D4716">
            <v>0</v>
          </cell>
        </row>
        <row r="4718">
          <cell r="D4718">
            <v>0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0</v>
          </cell>
          <cell r="E4722">
            <v>0</v>
          </cell>
          <cell r="J4722">
            <v>0</v>
          </cell>
          <cell r="K4722">
            <v>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0</v>
          </cell>
        </row>
        <row r="4746">
          <cell r="K4746">
            <v>0</v>
          </cell>
        </row>
        <row r="4748">
          <cell r="J4748">
            <v>0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23040042</v>
          </cell>
        </row>
        <row r="4754">
          <cell r="D4754">
            <v>0</v>
          </cell>
        </row>
        <row r="4756">
          <cell r="D4756">
            <v>0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0</v>
          </cell>
          <cell r="E4760">
            <v>0</v>
          </cell>
          <cell r="J4760">
            <v>0</v>
          </cell>
          <cell r="K4760">
            <v>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0</v>
          </cell>
        </row>
        <row r="4784">
          <cell r="K4784">
            <v>0</v>
          </cell>
        </row>
        <row r="4786">
          <cell r="J4786">
            <v>0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23040043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K4798">
            <v>0</v>
          </cell>
        </row>
        <row r="4799">
          <cell r="K4799">
            <v>0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0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0</v>
          </cell>
        </row>
        <row r="4822">
          <cell r="K4822">
            <v>0</v>
          </cell>
        </row>
        <row r="4828">
          <cell r="D4828" t="str">
            <v>AM</v>
          </cell>
          <cell r="E4828">
            <v>23040043</v>
          </cell>
        </row>
        <row r="4830">
          <cell r="D4830">
            <v>0</v>
          </cell>
        </row>
        <row r="4832">
          <cell r="D4832">
            <v>0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0</v>
          </cell>
          <cell r="E4836">
            <v>0</v>
          </cell>
          <cell r="J4836">
            <v>0</v>
          </cell>
          <cell r="K4836">
            <v>0</v>
          </cell>
        </row>
        <row r="4837">
          <cell r="D4837">
            <v>0</v>
          </cell>
          <cell r="E4837">
            <v>0</v>
          </cell>
          <cell r="J4837">
            <v>0</v>
          </cell>
          <cell r="K4837">
            <v>0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0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0</v>
          </cell>
        </row>
        <row r="4860">
          <cell r="K4860">
            <v>0</v>
          </cell>
        </row>
        <row r="4862">
          <cell r="J4862">
            <v>0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23040043</v>
          </cell>
        </row>
        <row r="4868">
          <cell r="D4868">
            <v>0</v>
          </cell>
        </row>
        <row r="4870">
          <cell r="D4870">
            <v>0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0</v>
          </cell>
          <cell r="E4874">
            <v>0</v>
          </cell>
          <cell r="J4874">
            <v>0</v>
          </cell>
          <cell r="K4874">
            <v>0</v>
          </cell>
        </row>
        <row r="4875">
          <cell r="D4875">
            <v>0</v>
          </cell>
          <cell r="E4875">
            <v>0</v>
          </cell>
          <cell r="J4875">
            <v>0</v>
          </cell>
          <cell r="K4875">
            <v>0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0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0</v>
          </cell>
        </row>
        <row r="4898">
          <cell r="K4898">
            <v>0</v>
          </cell>
        </row>
        <row r="4900">
          <cell r="J4900">
            <v>0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23040044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23040044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23040044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23040045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23040045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23040045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23040046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23040046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23040046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23040047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23040047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23040047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23040048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23040048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23040048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23040049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23040049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23040049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23040050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23040050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23040050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4%20APRIL\KELUAR%2004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48.412776504629" createdVersion="5" refreshedVersion="5" minRefreshableVersion="3" recordCount="214">
  <cacheSource type="worksheet">
    <worksheetSource name="Table1" r:id="rId2"/>
  </cacheSource>
  <cacheFields count="31">
    <cacheField name="//" numFmtId="0">
      <sharedItems containsMixedTypes="1" containsNumber="1" containsInteger="1" minValue="3" maxValue="51" count="26">
        <n v="3"/>
        <s v=""/>
        <n v="5"/>
        <n v="12"/>
        <n v="15"/>
        <n v="19"/>
        <n v="21"/>
        <n v="23"/>
        <n v="31"/>
        <n v="35"/>
        <n v="37"/>
        <n v="46"/>
        <n v="49"/>
        <n v="51"/>
        <n v="36" u="1"/>
        <n v="38" u="1"/>
        <n v="40" u="1"/>
        <n v="42" u="1"/>
        <n v="44" u="1"/>
        <n v="48" u="1"/>
        <n v="50" u="1"/>
        <n v="39" u="1"/>
        <n v="41" u="1"/>
        <n v="43" u="1"/>
        <n v="45" u="1"/>
        <n v="47" u="1"/>
      </sharedItems>
    </cacheField>
    <cacheField name="h_No. Invoice :" numFmtId="0">
      <sharedItems containsMixedTypes="1" containsNumber="1" containsInteger="1" minValue="23040001" maxValue="23040013"/>
    </cacheField>
    <cacheField name="Tgl Invoice :" numFmtId="164">
      <sharedItems containsNonDate="0" containsDate="1" containsString="0" containsBlank="1" minDate="2023-04-05T00:00:00" maxDate="2023-04-16T00:00:00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2" maxValue="144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050" maxValue="282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String="0" containsBlank="1" containsNumber="1" minValue="0.03" maxValue="0.05"/>
    </cacheField>
    <cacheField name="Amount" numFmtId="43">
      <sharedItems containsMixedTypes="1" containsNumber="1" containsInteger="1" minValue="37000" maxValue="1454418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3" maxValue="51"/>
    </cacheField>
    <cacheField name="h_jumlahbarang" numFmtId="0">
      <sharedItems containsMixedTypes="1" containsNumber="1" containsInteger="1" minValue="1" maxValue="8"/>
    </cacheField>
    <cacheField name="h_hargasebelumdiskon" numFmtId="43">
      <sharedItems containsMixedTypes="1" containsNumber="1" containsInteger="1" minValue="37000" maxValue="17136000"/>
    </cacheField>
    <cacheField name="h_disc 1" numFmtId="43">
      <sharedItems containsMixedTypes="1" containsNumber="1" minValue="0" maxValue="2142000"/>
    </cacheField>
    <cacheField name="h_disc 2" numFmtId="43">
      <sharedItems containsMixedTypes="1" containsNumber="1" containsInteger="1" minValue="0" maxValue="449820"/>
    </cacheField>
    <cacheField name="h_diskon" numFmtId="43">
      <sharedItems containsMixedTypes="1" containsNumber="1" minValue="0" maxValue="2591820"/>
    </cacheField>
    <cacheField name="h_hargasetelahdiskon" numFmtId="43">
      <sharedItems containsMixedTypes="1" containsNumber="1" containsInteger="1" minValue="37000" maxValue="14544180"/>
    </cacheField>
    <cacheField name="Total Invoice" numFmtId="43">
      <sharedItems containsMixedTypes="1" containsNumber="1" containsInteger="1" minValue="190920" maxValue="19674550"/>
    </cacheField>
    <cacheField name="KETERANGAN" numFmtId="43">
      <sharedItems containsNonDate="0" containsString="0" containsBlank="1"/>
    </cacheField>
    <cacheField name="H_A1" numFmtId="43">
      <sharedItems count="36">
        <s v="ISI CUTTER 18 MM KENKO L-150 (BESAR)LSN64800"/>
        <s v=""/>
        <s v="BALLPEN JOYKO BP-338 VOCUS HITAMLSN12600"/>
        <s v="ISI STAPLER (STAPLES) KENKO 1210 PREMIUM (23/10)BOX4200"/>
        <s v="CORRECTION FLUID KENKO KE-01LSN54300"/>
        <s v="LEM STICK KENKO 8 GR (KECIL) isi 30 pcBOX66000"/>
        <s v="HIGHLIGHTER / STABILO KENKO HL-100 PINKPCS3050"/>
        <s v="HIGHLIGHTER / STABILO KENKO HL-100 HIJAUPCS3050"/>
        <s v="GEL PEN JOYKO GP-265 Q-GELLSN28200"/>
        <s v="STIP / PENGHAPUS JOYKO 526-B40P PUTIHBOX28300"/>
        <s v="CRAYON / OIL PASTEL JOYKO OP-24S PP CASE SEA WORLDPCS29600"/>
        <s v="CORRECTION TAPE JOYKO CT-522PCS4800"/>
        <s v="CALCULATOR JOYKO CC-800CHPCS79000"/>
        <s v="PENSIL KENKO 2B-6191 HIJAU CAP HITAMGRS110400"/>
        <s v="CRAYON / OIL PASTEL JOYKO OP-12S PP CASE SEA WORLDPCS11900"/>
        <s v="CORRECTION TAPE JOYKO CT-507LSN55200"/>
        <s v="CORRECTION TAPE JOYKO CT-508LSN54000"/>
        <s v="PENSIL WARNA JOYKO CP-24PB (PANJANG)PCS21200"/>
        <s v="PENSIL WARNA JOYKO CP-S12 MINI (PENDEK)PCS6700"/>
        <s v="PENSIL WARNA JOYKO CP-12PB (PANJANG)PCS10600"/>
        <s v="STAPLER JOYKO HD-50PCS18700"/>
        <s v="STIP / PENGHAPUS JOYKO 526-B20 PUTIHBOX34100"/>
        <s v="PENCIL CASE 22 x 7.5 MAGNET C-1758LS150000"/>
        <s v="PENSIL WARNA KAYAGI KY-CP1224 TWINLS149000"/>
        <s v="HIGHLIGHTER / STABILLO TIZO TF-616 (isi 24 pc)BOX57000"/>
        <s v="HIGHLIGHTER / STABILLO TIZO TF-610 (isi 54 pc)BOX122000"/>
        <s v="GEL PEN TIZO TG30801-ELLS18500"/>
        <s v="GEL PEN TIZO TG31590-ELLS18500"/>
        <s v="GEL PEN TIZO TG31762-ELLS18500"/>
        <s v="COLOR BRUSH PEN KENKO DBP-12 DUAL TIP  (12 WARNA)SET25000"/>
        <s v="TAPE DISPENSER POLAR BEAR MN-305 @12pcBOX105000"/>
        <s v="CORRECTION TAPE KENKO CT-606 (6M x 5MM)LSN58800"/>
        <s v="PUNCH KENKO NO. 40LSN282000"/>
        <s v="TAPE DISPENSER KENKO TD-321 (1&quot; &amp; 3&quot; CORE)PCS18500"/>
        <s v="HIGHLIGHTER / STABILLO JOYKO HL MIX (kuning, hijau)PCS3700"/>
        <s v="STIP / PENGHAPUS JOYKO 526-B40P PUTIHBOX341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4">
  <r>
    <x v="0"/>
    <n v="23040001"/>
    <d v="2023-04-05T00:00:00"/>
    <s v="KO"/>
    <s v="1417"/>
    <s v="ANUGERAH"/>
    <s v="AM 23040001"/>
    <s v="KO 1417"/>
    <s v="CV PELITA JAYA (ANUGERAH SEJAHTERA) PURWOKERTO"/>
    <n v="120"/>
    <s v="LSN"/>
    <n v="2"/>
    <s v="ISIKENBESAR"/>
    <s v="ISI CUTTER 18 MM KENKO L-150 (BESAR)"/>
    <s v="ISI CUTTER 18 MM KENKO L-150 (BESAR)"/>
    <n v="64800"/>
    <n v="0.13500000000000001"/>
    <m/>
    <n v="6726240"/>
    <s v="NOVI / CONDRO"/>
    <m/>
    <n v="3"/>
    <n v="1"/>
    <n v="7776000"/>
    <n v="1049760"/>
    <n v="0"/>
    <n v="1049760"/>
    <n v="6726240"/>
    <n v="6726240"/>
    <m/>
    <x v="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2"/>
    <n v="23040002"/>
    <d v="2023-04-08T00:00:00"/>
    <s v="KO"/>
    <s v="1435"/>
    <s v="ANUGERAH"/>
    <s v="AM 23040002"/>
    <s v="KO 1435"/>
    <s v="CV PELITA JAYA (ANUGERAH SEJAHTERA) PURWOKERTO"/>
    <n v="144"/>
    <s v="LSN"/>
    <n v="1"/>
    <s v="PENJKBP338"/>
    <s v="BALLPEN JOYKO BP-338 VOCUS HITAM"/>
    <s v="BALLPEN JOYKO BP-338 VOCUS HITAM"/>
    <n v="12600"/>
    <n v="0.13500000000000001"/>
    <m/>
    <n v="1569456"/>
    <s v="NOVI / CONDRO"/>
    <m/>
    <n v="5"/>
    <n v="6"/>
    <n v="1814400"/>
    <n v="244944.00000000003"/>
    <n v="0"/>
    <n v="244944.00000000003"/>
    <n v="1569456"/>
    <n v="19209228"/>
    <m/>
    <x v="2"/>
  </r>
  <r>
    <x v="1"/>
    <s v=""/>
    <m/>
    <m/>
    <m/>
    <m/>
    <s v=""/>
    <s v=" "/>
    <s v=""/>
    <n v="800"/>
    <s v="BOX"/>
    <n v="4"/>
    <s v="ISIKEN1210"/>
    <s v="ISI STAPLER (STAPLES) KENKO 1210 PREMIUM (23/10)"/>
    <s v="ISI STAPLER (STAPLES) KENKO 1210 PREMIUM (23/10)"/>
    <n v="4200"/>
    <n v="0.13500000000000001"/>
    <m/>
    <n v="2906400"/>
    <m/>
    <m/>
    <n v="5"/>
    <n v="6"/>
    <n v="3360000"/>
    <n v="453600.00000000006"/>
    <n v="0"/>
    <n v="453600.00000000006"/>
    <n v="2906400"/>
    <s v=""/>
    <m/>
    <x v="3"/>
  </r>
  <r>
    <x v="1"/>
    <s v=""/>
    <m/>
    <m/>
    <m/>
    <m/>
    <s v=""/>
    <s v=" "/>
    <s v=""/>
    <n v="216"/>
    <s v="LSN"/>
    <n v="3"/>
    <s v="TIPKENKE01"/>
    <s v="CORRECTION FLUID KENKO KE-01"/>
    <s v="CORRECTION FLUID KENKO KE-01"/>
    <n v="54300"/>
    <n v="0.13500000000000001"/>
    <m/>
    <n v="10145412"/>
    <m/>
    <m/>
    <n v="5"/>
    <n v="6"/>
    <n v="11728800"/>
    <n v="1583388"/>
    <n v="0"/>
    <n v="1583388"/>
    <n v="10145412"/>
    <s v=""/>
    <m/>
    <x v="4"/>
  </r>
  <r>
    <x v="1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5"/>
    <n v="6"/>
    <n v="2376000"/>
    <n v="320760"/>
    <n v="0"/>
    <n v="320760"/>
    <n v="2055240"/>
    <s v=""/>
    <m/>
    <x v="5"/>
  </r>
  <r>
    <x v="1"/>
    <s v=""/>
    <m/>
    <m/>
    <m/>
    <m/>
    <s v=""/>
    <s v=" "/>
    <s v=""/>
    <n v="480"/>
    <s v="PCS"/>
    <n v="1"/>
    <m/>
    <s v=""/>
    <s v="HIGHLIGHTER / STABILO KENKO HL-100 PINK"/>
    <n v="3050"/>
    <n v="0.13500000000000001"/>
    <m/>
    <n v="1266360"/>
    <m/>
    <m/>
    <n v="5"/>
    <n v="6"/>
    <n v="1464000"/>
    <n v="197640"/>
    <n v="0"/>
    <n v="197640"/>
    <n v="1266360"/>
    <s v=""/>
    <m/>
    <x v="6"/>
  </r>
  <r>
    <x v="1"/>
    <s v=""/>
    <m/>
    <m/>
    <m/>
    <m/>
    <s v=""/>
    <s v=" "/>
    <s v=""/>
    <n v="480"/>
    <s v="PCS"/>
    <n v="1"/>
    <m/>
    <s v=""/>
    <s v="HIGHLIGHTER / STABILO KENKO HL-100 HIJAU"/>
    <n v="3050"/>
    <n v="0.13500000000000001"/>
    <m/>
    <n v="1266360"/>
    <m/>
    <m/>
    <n v="5"/>
    <n v="6"/>
    <n v="1464000"/>
    <n v="197640"/>
    <n v="0"/>
    <n v="197640"/>
    <n v="1266360"/>
    <s v=""/>
    <m/>
    <x v="7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3"/>
    <n v="23040003"/>
    <d v="2023-04-08T00:00:00"/>
    <s v="KO"/>
    <s v="1458"/>
    <s v="ANUGERAH"/>
    <s v="AM 23040003"/>
    <s v="KO 1458"/>
    <s v="CV PELITA JAYA (ANUGERAH SEJAHTERA) PURWOKERTO"/>
    <n v="144"/>
    <s v="LSN"/>
    <n v="1"/>
    <s v="PENJKGP265"/>
    <s v="GEL PEN JOYKO GP-265 Q-GEL"/>
    <s v="GEL PEN JOYKO GP-265 Q-GEL"/>
    <n v="28200"/>
    <n v="0.13500000000000001"/>
    <m/>
    <n v="3512592"/>
    <s v="NOVI / CONDRO"/>
    <m/>
    <n v="12"/>
    <n v="2"/>
    <n v="4060800"/>
    <n v="548208"/>
    <n v="0"/>
    <n v="548208"/>
    <n v="3512592"/>
    <n v="4736567"/>
    <m/>
    <x v="8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12"/>
    <n v="2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4"/>
    <n v="23040004"/>
    <d v="2023-04-08T00:00:00"/>
    <s v="G"/>
    <s v="1459"/>
    <s v="REJOAGUNG"/>
    <s v="AM 23040004"/>
    <s v="G 1459"/>
    <s v="LILY JULIAWATI (REJO AGUNG) JOMBANG"/>
    <n v="240"/>
    <s v="PCS"/>
    <n v="5"/>
    <s v="OPJK24W"/>
    <s v="CRAYON / OIL PASTEL JOYKO OP-24S PP CASE SEA WORLD"/>
    <s v="CRAYON / OIL PASTEL JOYKO OP-24S PP CASE SEA WORLD"/>
    <n v="29600"/>
    <n v="0.125"/>
    <n v="0.03"/>
    <n v="6029520"/>
    <s v="NOVI / CONDRO"/>
    <m/>
    <n v="15"/>
    <n v="3"/>
    <n v="7104000"/>
    <n v="888000"/>
    <n v="186480"/>
    <n v="1074480"/>
    <n v="6029520"/>
    <n v="12993645"/>
    <m/>
    <x v="10"/>
  </r>
  <r>
    <x v="1"/>
    <s v=""/>
    <m/>
    <m/>
    <m/>
    <m/>
    <s v=""/>
    <s v=" "/>
    <s v=""/>
    <n v="720"/>
    <s v="PCS"/>
    <n v="1"/>
    <s v="TIPJKCT522"/>
    <s v="CORRECTION TAPE JOYKO CT-522"/>
    <s v="CORRECTION TAPE JOYKO CT-522"/>
    <n v="4800"/>
    <n v="0.125"/>
    <m/>
    <n v="3024000"/>
    <m/>
    <m/>
    <n v="15"/>
    <n v="3"/>
    <n v="3456000"/>
    <n v="432000"/>
    <n v="0"/>
    <n v="432000"/>
    <n v="3024000"/>
    <s v=""/>
    <m/>
    <x v="11"/>
  </r>
  <r>
    <x v="1"/>
    <s v=""/>
    <m/>
    <m/>
    <m/>
    <m/>
    <s v=""/>
    <s v=" "/>
    <s v=""/>
    <n v="60"/>
    <s v="PCS"/>
    <n v="1"/>
    <s v="CALJKCC800CH"/>
    <s v="CALCULATOR JOYKO CC-800CH"/>
    <s v="CALCULATOR JOYKO CC-800CH"/>
    <n v="79000"/>
    <n v="0.125"/>
    <n v="0.05"/>
    <n v="3940125"/>
    <m/>
    <m/>
    <n v="15"/>
    <n v="3"/>
    <n v="4740000"/>
    <n v="592500"/>
    <n v="207375"/>
    <n v="799875"/>
    <n v="3940125"/>
    <s v=""/>
    <m/>
    <x v="1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5"/>
    <n v="23040005"/>
    <d v="2023-04-11T00:00:00"/>
    <s v="KO 1467"/>
    <m/>
    <s v="ANUGERAH"/>
    <s v="AM 23040005"/>
    <s v="KO 1467 "/>
    <s v="CV PELITA JAYA (ANUGERAH SEJAHTERA) PURWOKERTO"/>
    <n v="40"/>
    <s v="GRS"/>
    <n v="2"/>
    <s v="PENKEN6191"/>
    <s v="PENSIL KENKO 2B-6191 HIJAU CAP HITAM"/>
    <s v="PENSIL KENKO 2B-6191 HIJAU CAP HITAM"/>
    <n v="110400"/>
    <n v="0.13500000000000001"/>
    <m/>
    <n v="3819840"/>
    <s v="NOVI / CONDRO"/>
    <m/>
    <n v="19"/>
    <n v="1"/>
    <n v="4416000"/>
    <n v="596160"/>
    <n v="0"/>
    <n v="596160"/>
    <n v="3819840"/>
    <n v="3819840"/>
    <m/>
    <x v="1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6"/>
    <n v="23040006"/>
    <d v="2023-04-12T00:00:00"/>
    <s v="G"/>
    <s v="1474"/>
    <s v="REJOAGUNG"/>
    <s v="AM 23040006"/>
    <s v="G 1474"/>
    <s v="LILY JULIAWATI (REJO AGUNG) JOMBANG"/>
    <n v="1440"/>
    <s v="PCS"/>
    <n v="10"/>
    <s v="OPJK12W"/>
    <s v="CRAYON / OIL PASTEL JOYKO OP-12S PP CASE SEA WORLD"/>
    <s v="CRAYON / OIL PASTEL JOYKO OP-12S PP CASE SEA WORLD"/>
    <n v="11900"/>
    <n v="0.125"/>
    <n v="0.03"/>
    <n v="14544180"/>
    <s v="NOVI / CONDRO"/>
    <m/>
    <n v="21"/>
    <n v="1"/>
    <n v="17136000"/>
    <n v="2142000"/>
    <n v="449820"/>
    <n v="2591820"/>
    <n v="14544180"/>
    <n v="14544180"/>
    <m/>
    <x v="1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7"/>
    <n v="23040007"/>
    <d v="2023-04-12T00:00:00"/>
    <s v="KO"/>
    <s v="1027"/>
    <s v="lancar"/>
    <s v="AM 23040007"/>
    <s v="KO 1027"/>
    <s v="SOEYANTO LOPULUSI ( LANCAR ) MALANG"/>
    <n v="60"/>
    <s v="LSN"/>
    <n v="1"/>
    <s v="TIPJKCT507"/>
    <s v="CORRECTION TAPE JOYKO CT-507"/>
    <s v="CORRECTION TAPE JOYKO CT-507"/>
    <n v="55200"/>
    <n v="0.125"/>
    <m/>
    <n v="2898000"/>
    <s v="NOVI / CONDRO"/>
    <m/>
    <n v="23"/>
    <n v="7"/>
    <n v="3312000"/>
    <n v="414000"/>
    <n v="0"/>
    <n v="414000"/>
    <n v="2898000"/>
    <n v="19674550"/>
    <m/>
    <x v="15"/>
  </r>
  <r>
    <x v="1"/>
    <s v=""/>
    <m/>
    <m/>
    <m/>
    <m/>
    <s v=""/>
    <s v=" "/>
    <s v=""/>
    <n v="60"/>
    <s v="LSN"/>
    <n v="1"/>
    <s v="TIPJKCT508"/>
    <s v="CORRECTION TAPE JOYKO CT-508"/>
    <s v="CORRECTION TAPE JOYKO CT-508"/>
    <n v="54000"/>
    <n v="0.125"/>
    <m/>
    <n v="2835000"/>
    <m/>
    <m/>
    <n v="23"/>
    <n v="7"/>
    <n v="3240000"/>
    <n v="405000"/>
    <n v="0"/>
    <n v="405000"/>
    <n v="2835000"/>
    <s v=""/>
    <m/>
    <x v="16"/>
  </r>
  <r>
    <x v="1"/>
    <s v=""/>
    <m/>
    <m/>
    <m/>
    <m/>
    <s v=""/>
    <s v=" "/>
    <s v=""/>
    <n v="72"/>
    <s v="PCS"/>
    <n v="1"/>
    <s v="PWJK24WPANJANG"/>
    <s v="PENSIL WARNA JOYKO CP-24PB (PANJANG)"/>
    <s v="PENSIL WARNA JOYKO CP-24PB (PANJANG)"/>
    <n v="21200"/>
    <n v="0.125"/>
    <m/>
    <n v="1335600"/>
    <m/>
    <m/>
    <n v="23"/>
    <n v="7"/>
    <n v="1526400"/>
    <n v="190800"/>
    <n v="0"/>
    <n v="190800"/>
    <n v="1335600"/>
    <s v=""/>
    <m/>
    <x v="17"/>
  </r>
  <r>
    <x v="1"/>
    <s v=""/>
    <m/>
    <m/>
    <m/>
    <m/>
    <s v=""/>
    <s v=" "/>
    <s v=""/>
    <n v="288"/>
    <s v="PCS"/>
    <n v="1"/>
    <s v="PWJK12WPENDEK"/>
    <s v="PENSIL WARNA JOYKO CP-S12 MINI (PENDEK)"/>
    <s v="PENSIL WARNA JOYKO CP-S12 MINI (PENDEK)"/>
    <n v="6700"/>
    <n v="0.125"/>
    <m/>
    <n v="1688400"/>
    <m/>
    <m/>
    <n v="23"/>
    <n v="7"/>
    <n v="1929600"/>
    <n v="241200"/>
    <n v="0"/>
    <n v="241200"/>
    <n v="1688400"/>
    <s v=""/>
    <m/>
    <x v="18"/>
  </r>
  <r>
    <x v="1"/>
    <s v=""/>
    <m/>
    <m/>
    <m/>
    <m/>
    <s v=""/>
    <s v=" "/>
    <s v=""/>
    <n v="432"/>
    <s v="PCS"/>
    <n v="3"/>
    <s v="PWJK12WPANJANG"/>
    <s v="PENSIL WARNA JOYKO CP-12PB (PANJANG)"/>
    <s v="PENSIL WARNA JOYKO CP-12PB (PANJANG)"/>
    <n v="10600"/>
    <n v="0.125"/>
    <m/>
    <n v="4006800"/>
    <m/>
    <m/>
    <n v="23"/>
    <n v="7"/>
    <n v="4579200"/>
    <n v="572400"/>
    <n v="0"/>
    <n v="572400"/>
    <n v="4006800"/>
    <s v=""/>
    <m/>
    <x v="19"/>
  </r>
  <r>
    <x v="1"/>
    <s v=""/>
    <m/>
    <m/>
    <m/>
    <m/>
    <s v=""/>
    <s v=" "/>
    <s v=""/>
    <n v="240"/>
    <s v="PCS"/>
    <n v="2"/>
    <s v="STAJKHD50"/>
    <s v="STAPLER JOYKO HD-50"/>
    <s v="STAPLER JOYKO HD-50"/>
    <n v="18700"/>
    <n v="0.125"/>
    <m/>
    <n v="3927000"/>
    <m/>
    <m/>
    <n v="23"/>
    <n v="7"/>
    <n v="4488000"/>
    <n v="561000"/>
    <n v="0"/>
    <n v="561000"/>
    <n v="3927000"/>
    <s v=""/>
    <m/>
    <x v="20"/>
  </r>
  <r>
    <x v="1"/>
    <s v=""/>
    <m/>
    <m/>
    <m/>
    <m/>
    <s v=""/>
    <s v=" "/>
    <s v=""/>
    <n v="100"/>
    <s v="BOX"/>
    <n v="2"/>
    <s v="AAAAAAAA"/>
    <e v="#N/A"/>
    <s v="STIP / PENGHAPUS JOYKO 526-B20 PUTIH"/>
    <n v="34100"/>
    <n v="0.125"/>
    <m/>
    <n v="2983750"/>
    <m/>
    <m/>
    <n v="23"/>
    <n v="7"/>
    <n v="3410000"/>
    <n v="426250"/>
    <n v="0"/>
    <n v="426250"/>
    <n v="2983750"/>
    <s v=""/>
    <m/>
    <x v="2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8"/>
    <n v="23040008"/>
    <d v="2023-04-12T00:00:00"/>
    <s v="KO"/>
    <s v="1482"/>
    <s v="ANUGERAH"/>
    <s v="AM 23040008"/>
    <s v="KO 1482"/>
    <s v="CV PELITA JAYA (ANUGERAH SEJAHTERA) PURWOKERTO"/>
    <n v="50"/>
    <s v="BOX"/>
    <n v="1"/>
    <s v="STIJK20PUTIH"/>
    <s v="STIP / PENGHAPUS JOYKO 526-B20 PUTIH"/>
    <s v="STIP / PENGHAPUS JOYKO 526-B20 PUTIH"/>
    <n v="34100"/>
    <n v="0.13500000000000001"/>
    <m/>
    <n v="1474825"/>
    <s v="NOVI / CONDRO"/>
    <m/>
    <n v="31"/>
    <n v="3"/>
    <n v="1705000"/>
    <n v="230175.00000000003"/>
    <n v="0"/>
    <n v="230175.00000000003"/>
    <n v="1474825"/>
    <n v="4268256"/>
    <m/>
    <x v="21"/>
  </r>
  <r>
    <x v="1"/>
    <s v=""/>
    <m/>
    <m/>
    <m/>
    <m/>
    <s v=""/>
    <s v=" "/>
    <s v=""/>
    <n v="144"/>
    <s v="LSN"/>
    <n v="1"/>
    <s v="PENJKBP338"/>
    <s v="BALLPEN JOYKO BP-338 VOCUS HITAM"/>
    <s v="BALLPEN JOYKO BP-338 VOCUS HITAM"/>
    <n v="12600"/>
    <n v="0.13500000000000001"/>
    <m/>
    <n v="1569456"/>
    <m/>
    <m/>
    <n v="31"/>
    <n v="3"/>
    <n v="1814400"/>
    <n v="244944.00000000003"/>
    <n v="0"/>
    <n v="244944.00000000003"/>
    <n v="1569456"/>
    <s v=""/>
    <m/>
    <x v="2"/>
  </r>
  <r>
    <x v="1"/>
    <s v=""/>
    <m/>
    <m/>
    <m/>
    <m/>
    <s v=""/>
    <s v=" "/>
    <s v=""/>
    <n v="50"/>
    <s v="BOX"/>
    <n v="1"/>
    <s v="STIJK40PUTIH"/>
    <s v="STIP / PENGHAPUS JOYKO 526-B40P PUTIH"/>
    <s v="STIP / PENGHAPUS JOYKO 526-B40P PUTIH"/>
    <n v="28300"/>
    <n v="0.13500000000000001"/>
    <m/>
    <n v="1223975"/>
    <m/>
    <m/>
    <n v="31"/>
    <n v="3"/>
    <n v="1415000"/>
    <n v="191025"/>
    <n v="0"/>
    <n v="191025"/>
    <n v="1223975"/>
    <s v=""/>
    <m/>
    <x v="9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9"/>
    <n v="23040009"/>
    <d v="2023-04-14T00:00:00"/>
    <s v="KO"/>
    <s v="4010"/>
    <s v="CENTRAAL"/>
    <s v="AM 23040009"/>
    <s v="KO 4010"/>
    <s v="CV TRINITY CENTRAAL PURWOKERTO"/>
    <n v="12"/>
    <s v="LS"/>
    <n v="1"/>
    <m/>
    <s v=""/>
    <s v="PENCIL CASE 22 x 7.5 MAGNET C-1758"/>
    <n v="150000"/>
    <m/>
    <m/>
    <n v="1800000"/>
    <s v="NOVI / YO"/>
    <m/>
    <n v="35"/>
    <n v="1"/>
    <n v="1800000"/>
    <n v="0"/>
    <n v="0"/>
    <n v="0"/>
    <n v="1800000"/>
    <n v="1800000"/>
    <m/>
    <x v="2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0"/>
    <n v="23040010"/>
    <d v="2023-04-14T00:00:00"/>
    <s v="G"/>
    <s v="2944"/>
    <s v="SINARBHAKTI"/>
    <s v="AM 23040010"/>
    <s v="G 2944"/>
    <s v="SINAR BHAKTI YOGYAKARTA"/>
    <n v="2"/>
    <s v="LS"/>
    <m/>
    <m/>
    <s v=""/>
    <s v="PENSIL WARNA KAYAGI KY-CP1224 TWIN"/>
    <n v="149000"/>
    <m/>
    <m/>
    <n v="298000"/>
    <s v="RISMA / YO"/>
    <m/>
    <n v="37"/>
    <n v="8"/>
    <n v="298000"/>
    <n v="0"/>
    <n v="0"/>
    <n v="0"/>
    <n v="298000"/>
    <n v="1524500"/>
    <m/>
    <x v="23"/>
  </r>
  <r>
    <x v="1"/>
    <s v=""/>
    <m/>
    <m/>
    <m/>
    <m/>
    <s v=""/>
    <s v=" "/>
    <s v=""/>
    <n v="2"/>
    <s v="BOX"/>
    <m/>
    <m/>
    <s v=""/>
    <s v="HIGHLIGHTER / STABILLO TIZO TF-616 (isi 24 pc)"/>
    <n v="57000"/>
    <m/>
    <m/>
    <n v="114000"/>
    <m/>
    <m/>
    <n v="37"/>
    <n v="8"/>
    <n v="114000"/>
    <n v="0"/>
    <n v="0"/>
    <n v="0"/>
    <n v="114000"/>
    <s v=""/>
    <m/>
    <x v="24"/>
  </r>
  <r>
    <x v="1"/>
    <s v=""/>
    <m/>
    <m/>
    <m/>
    <m/>
    <s v=""/>
    <s v=" "/>
    <s v=""/>
    <n v="2"/>
    <s v="BOX"/>
    <m/>
    <m/>
    <s v=""/>
    <s v="HIGHLIGHTER / STABILLO TIZO TF-610 (isi 54 pc)"/>
    <n v="122000"/>
    <m/>
    <m/>
    <n v="244000"/>
    <m/>
    <m/>
    <n v="37"/>
    <n v="8"/>
    <n v="244000"/>
    <n v="0"/>
    <n v="0"/>
    <n v="0"/>
    <n v="244000"/>
    <s v=""/>
    <m/>
    <x v="25"/>
  </r>
  <r>
    <x v="1"/>
    <s v=""/>
    <m/>
    <m/>
    <m/>
    <m/>
    <s v=""/>
    <s v=" "/>
    <s v=""/>
    <n v="7"/>
    <s v="LS"/>
    <m/>
    <m/>
    <s v=""/>
    <s v="GEL PEN TIZO TG30801-EL"/>
    <n v="18500"/>
    <m/>
    <m/>
    <n v="129500"/>
    <m/>
    <m/>
    <n v="37"/>
    <n v="8"/>
    <n v="129500"/>
    <n v="0"/>
    <n v="0"/>
    <n v="0"/>
    <n v="129500"/>
    <s v=""/>
    <m/>
    <x v="26"/>
  </r>
  <r>
    <x v="1"/>
    <s v=""/>
    <m/>
    <m/>
    <m/>
    <m/>
    <s v=""/>
    <s v=" "/>
    <s v=""/>
    <n v="12"/>
    <s v="LS"/>
    <m/>
    <m/>
    <s v=""/>
    <s v="GEL PEN TIZO TG31590-EL"/>
    <n v="18500"/>
    <m/>
    <m/>
    <n v="222000"/>
    <m/>
    <m/>
    <n v="37"/>
    <n v="8"/>
    <n v="222000"/>
    <n v="0"/>
    <n v="0"/>
    <n v="0"/>
    <n v="222000"/>
    <s v=""/>
    <m/>
    <x v="27"/>
  </r>
  <r>
    <x v="1"/>
    <s v=""/>
    <m/>
    <m/>
    <m/>
    <m/>
    <s v=""/>
    <s v=" "/>
    <s v=""/>
    <n v="2"/>
    <s v="LS"/>
    <m/>
    <m/>
    <s v=""/>
    <s v="GEL PEN TIZO TG31762-EL"/>
    <n v="18500"/>
    <m/>
    <m/>
    <n v="37000"/>
    <m/>
    <m/>
    <n v="37"/>
    <n v="8"/>
    <n v="37000"/>
    <n v="0"/>
    <n v="0"/>
    <n v="0"/>
    <n v="37000"/>
    <s v=""/>
    <m/>
    <x v="28"/>
  </r>
  <r>
    <x v="1"/>
    <s v=""/>
    <m/>
    <m/>
    <m/>
    <m/>
    <s v=""/>
    <s v=" "/>
    <s v=""/>
    <n v="12"/>
    <s v="SET"/>
    <m/>
    <m/>
    <s v=""/>
    <s v="COLOR BRUSH PEN KENKO DBP-12 DUAL TIP  (12 WARNA)"/>
    <n v="25000"/>
    <n v="0.1"/>
    <m/>
    <n v="270000"/>
    <m/>
    <m/>
    <n v="37"/>
    <n v="8"/>
    <n v="300000"/>
    <n v="30000"/>
    <n v="0"/>
    <n v="30000"/>
    <n v="270000"/>
    <s v=""/>
    <m/>
    <x v="29"/>
  </r>
  <r>
    <x v="1"/>
    <s v=""/>
    <m/>
    <m/>
    <m/>
    <m/>
    <s v=""/>
    <s v=" "/>
    <s v=""/>
    <n v="2"/>
    <s v="BOX"/>
    <m/>
    <m/>
    <s v=""/>
    <s v="TAPE DISPENSER POLAR BEAR MN-305 @12pc"/>
    <n v="105000"/>
    <m/>
    <m/>
    <n v="210000"/>
    <m/>
    <m/>
    <n v="37"/>
    <n v="8"/>
    <n v="210000"/>
    <n v="0"/>
    <n v="0"/>
    <n v="0"/>
    <n v="210000"/>
    <s v=""/>
    <m/>
    <x v="30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1"/>
    <n v="23040011"/>
    <d v="2023-04-15T00:00:00"/>
    <s v="KO"/>
    <s v="2945"/>
    <s v="dwijaya"/>
    <s v="AM 23040011"/>
    <s v="KO 2945"/>
    <s v="CV DWI JAYA YOGYAKARTA"/>
    <n v="5"/>
    <s v="LSN"/>
    <m/>
    <s v="TIPKENCT606"/>
    <s v="CORRECTION TAPE KENKO CT-606 (6M x 5MM)"/>
    <s v="CORRECTION TAPE KENKO CT-606 (6M x 5MM)"/>
    <n v="58800"/>
    <n v="0.1"/>
    <m/>
    <n v="264600"/>
    <s v="NOVI / CONDRO"/>
    <m/>
    <n v="46"/>
    <n v="2"/>
    <n v="294000"/>
    <n v="29400"/>
    <n v="0"/>
    <n v="29400"/>
    <n v="264600"/>
    <n v="1026000"/>
    <m/>
    <x v="31"/>
  </r>
  <r>
    <x v="1"/>
    <s v=""/>
    <m/>
    <m/>
    <m/>
    <m/>
    <s v=""/>
    <s v=" "/>
    <s v=""/>
    <n v="3"/>
    <s v="LSN"/>
    <m/>
    <s v="PUNKEN40"/>
    <s v="PUNCH KENKO NO. 40"/>
    <s v="PUNCH KENKO NO. 40"/>
    <n v="282000"/>
    <n v="0.1"/>
    <m/>
    <n v="761400"/>
    <m/>
    <m/>
    <n v="46"/>
    <n v="2"/>
    <n v="846000"/>
    <n v="84600"/>
    <n v="0"/>
    <n v="84600"/>
    <n v="761400"/>
    <s v=""/>
    <m/>
    <x v="32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2"/>
    <n v="23040012"/>
    <d v="2023-04-10T00:00:00"/>
    <s v="KO"/>
    <s v="1463"/>
    <s v="BENDAN"/>
    <s v="AM 23040012"/>
    <s v="KO 1463"/>
    <s v="HARNOYO (BENDAN) PEKALONGAN"/>
    <n v="24"/>
    <s v="PCS"/>
    <n v="1"/>
    <s v="ISOKENTD321"/>
    <s v="TAPE DISPENSER KENKO TD-321 (1&quot; &amp; 3&quot; CORE)"/>
    <s v="TAPE DISPENSER KENKO TD-321 (1&quot; &amp; 3&quot; CORE)"/>
    <n v="18500"/>
    <n v="0.14000000000000001"/>
    <m/>
    <n v="381840"/>
    <s v="RISMA / CONDRO"/>
    <m/>
    <n v="49"/>
    <n v="1"/>
    <n v="444000"/>
    <n v="62160.000000000007"/>
    <n v="0"/>
    <n v="62160.000000000007"/>
    <n v="381840"/>
    <n v="381840"/>
    <m/>
    <x v="33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3"/>
    <n v="23040013"/>
    <d v="2023-04-10T00:00:00"/>
    <s v="KO"/>
    <s v="1464"/>
    <s v="BENDAN"/>
    <s v="AM 23040013"/>
    <s v="KO 1464"/>
    <s v="HARNOYO (BENDAN) PEKALONGAN"/>
    <n v="60"/>
    <s v="PCS"/>
    <m/>
    <s v="STAJKHL100"/>
    <e v="#N/A"/>
    <s v="HIGHLIGHTER / STABILLO JOYKO HL MIX (kuning, hijau)"/>
    <n v="3700"/>
    <n v="0.14000000000000001"/>
    <m/>
    <n v="190920"/>
    <s v="RISMA / CONDRO"/>
    <m/>
    <n v="51"/>
    <n v="1"/>
    <n v="222000"/>
    <n v="31080.000000000004"/>
    <n v="0"/>
    <n v="31080.000000000004"/>
    <n v="190920"/>
    <n v="190920"/>
    <m/>
    <x v="34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  <r>
    <x v="1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17" firstHeaderRow="1" firstDataRow="1" firstDataCol="1"/>
  <pivotFields count="31">
    <pivotField axis="axisRow" showAll="0" sortType="ascending">
      <items count="27">
        <item x="0"/>
        <item x="2"/>
        <item x="3"/>
        <item x="4"/>
        <item x="5"/>
        <item x="6"/>
        <item x="7"/>
        <item x="8"/>
        <item x="9"/>
        <item m="1" x="14"/>
        <item x="10"/>
        <item m="1" x="15"/>
        <item m="1" x="21"/>
        <item m="1" x="16"/>
        <item m="1" x="22"/>
        <item m="1" x="17"/>
        <item m="1" x="23"/>
        <item m="1" x="18"/>
        <item m="1" x="24"/>
        <item x="11"/>
        <item m="1" x="25"/>
        <item m="1" x="19"/>
        <item x="12"/>
        <item m="1" x="20"/>
        <item x="1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9"/>
    </i>
    <i>
      <x v="22"/>
    </i>
    <i>
      <x v="24"/>
    </i>
    <i>
      <x v="25"/>
    </i>
    <i t="grand">
      <x/>
    </i>
  </rowItems>
  <colItems count="1">
    <i/>
  </colItems>
  <formats count="1">
    <format dxfId="74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37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36">
        <item x="1"/>
        <item x="2"/>
        <item x="12"/>
        <item x="29"/>
        <item x="4"/>
        <item x="15"/>
        <item x="16"/>
        <item x="11"/>
        <item x="31"/>
        <item x="14"/>
        <item x="10"/>
        <item x="8"/>
        <item x="26"/>
        <item x="27"/>
        <item x="28"/>
        <item x="34"/>
        <item x="25"/>
        <item x="24"/>
        <item x="7"/>
        <item x="6"/>
        <item x="0"/>
        <item x="3"/>
        <item x="5"/>
        <item x="22"/>
        <item x="13"/>
        <item x="19"/>
        <item x="17"/>
        <item x="18"/>
        <item x="23"/>
        <item x="32"/>
        <item x="20"/>
        <item x="21"/>
        <item x="9"/>
        <item m="1" x="35"/>
        <item x="33"/>
        <item x="30"/>
      </items>
    </pivotField>
  </pivotFields>
  <rowFields count="1">
    <field x="3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17" totalsRowCount="1" headerRowDxfId="109" dataDxfId="108">
  <autoFilter ref="A2:AE216"/>
  <tableColumns count="31">
    <tableColumn id="16" name="//" dataDxfId="107" totalsRowDxfId="32">
      <calculatedColumnFormula>IF(Table1[[#This Row],[No. Invoice :]]="","",ROW())</calculatedColumnFormula>
    </tableColumn>
    <tableColumn id="18" name="h_No. Invoice :" dataDxfId="106" totalsRowDxfId="31">
      <calculatedColumnFormula>IF(Table1[h_Kode Sales :_1]="","",B$1+COUNT(B$2:B2))</calculatedColumnFormula>
    </tableColumn>
    <tableColumn id="2" name="Tgl Invoice :" dataDxfId="105" totalsRowDxfId="30"/>
    <tableColumn id="17" name="h_Kode Sales :_1" dataDxfId="104" totalsRowDxfId="29"/>
    <tableColumn id="19" name="h_Kode Sales :_2" dataDxfId="103" totalsRowDxfId="28"/>
    <tableColumn id="20" name="h_toko" dataDxfId="102" totalsRowDxfId="27"/>
    <tableColumn id="1" name="No. Invoice :" dataDxfId="101" totalsRowDxfId="26">
      <calculatedColumnFormula>IF(Table1[[#This Row],[h_No. Invoice :]]="","",CONCATENATE("AM"," ",Table1[[#This Row],[h_No. Invoice :]]))</calculatedColumnFormula>
    </tableColumn>
    <tableColumn id="3" name="Kode Sales :" dataDxfId="100" totalsRowDxfId="25">
      <calculatedColumnFormula>CONCATENATE(UPPER(Table1[[#This Row],[h_Kode Sales :_1]])," ",Table1[[#This Row],[h_Kode Sales :_2]])</calculatedColumnFormula>
    </tableColumn>
    <tableColumn id="4" name="Toko" dataDxfId="99" totalsRowDxfId="24">
      <calculatedColumnFormula>IF(Table1[[#This Row],[h_toko]]="","",INDEX(Table2[e],IF(Table1[[#This Row],[h_toko]]="","",MATCH(Table1[[#This Row],[h_toko]],Table2[a],0)),))</calculatedColumnFormula>
    </tableColumn>
    <tableColumn id="5" name="Qty" dataDxfId="98" totalsRowDxfId="23"/>
    <tableColumn id="6" name="Unit" dataDxfId="97" totalsRowDxfId="22"/>
    <tableColumn id="7" name="C" dataDxfId="96" totalsRowDxfId="21"/>
    <tableColumn id="8" name="h_Item Description" dataDxfId="95" totalsRowDxfId="20"/>
    <tableColumn id="10" name="Column1" dataDxfId="94" totalsRowDxfId="19">
      <calculatedColumnFormula>IF(Table1[[#This Row],[h_Item Description]]="","",INDEX([1]!db[NB PAJAK],MATCH(Table1[[#This Row],[h_Item Description]],[1]!db[kode],0)))</calculatedColumnFormula>
    </tableColumn>
    <tableColumn id="9" name="Item Description" dataDxfId="93" totalsRowDxfId="18"/>
    <tableColumn id="11" name="Unit Price" dataDxfId="92" totalsRowDxfId="17"/>
    <tableColumn id="12" name="Disc 1" dataDxfId="91" totalsRowDxfId="16"/>
    <tableColumn id="13" name="Disc 2" dataDxfId="90" totalsRowDxfId="15"/>
    <tableColumn id="23" name="Amount" dataDxfId="89" totalsRowDxfId="14">
      <calculatedColumnFormula>Table1[[#This Row],[h_hargasetelahdiskon]]</calculatedColumnFormula>
    </tableColumn>
    <tableColumn id="14" name="pembuat nota :" dataDxfId="88" totalsRowDxfId="13"/>
    <tableColumn id="15" name="edited :" dataDxfId="87" totalsRowDxfId="12"/>
    <tableColumn id="21" name="h_id" dataDxfId="86" totalsRowDxfId="11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5" totalsRowDxfId="10">
      <calculatedColumnFormula>IF(Table1[[#This Row],[h_id]]="","",COUNTIF(Table1[h_id],Table1[[#This Row],[h_id]]))</calculatedColumnFormula>
    </tableColumn>
    <tableColumn id="24" name="h_hargasebelumdiskon" dataDxfId="84" totalsRowDxfId="9">
      <calculatedColumnFormula>IF(Table1[Item Description]="","",Table1[[#This Row],[Qty]]*Table1[[#This Row],[Unit Price]])</calculatedColumnFormula>
    </tableColumn>
    <tableColumn id="31" name="h_disc 1" dataDxfId="83" totalsRowDxfId="8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2" totalsRowDxfId="7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81" totalsRowDxfId="6">
      <calculatedColumnFormula>IF(Table1[Item Description]="","",Table1[[#This Row],[h_disc 1]]+Table1[[#This Row],[h_disc 2]])</calculatedColumnFormula>
    </tableColumn>
    <tableColumn id="26" name="h_hargasetelahdiskon" dataDxfId="80" totalsRowDxfId="5">
      <calculatedColumnFormula>IF(Table1[Item Description]="","",Table1[[#This Row],[h_hargasebelumdiskon]]-Table1[[#This Row],[h_diskon]])</calculatedColumnFormula>
    </tableColumn>
    <tableColumn id="27" name="Total Invoice" dataDxfId="79" totalsRowDxfId="4">
      <calculatedColumnFormula>IF(Table1[//]="","",SUMIF(Table1[h_id],Table1[h_id],Table1[h_hargasetelahdiskon]))</calculatedColumnFormula>
    </tableColumn>
    <tableColumn id="28" name="KETERANGAN" dataDxfId="78" totalsRowDxfId="3"/>
    <tableColumn id="29" name="H_A1" dataDxfId="77" totalsRowDxfId="2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3">
  <autoFilter ref="C2:N55"/>
  <tableColumns count="12">
    <tableColumn id="1" name="//" totalsRowLabel="Total" dataDxfId="72">
      <calculatedColumnFormula>IF(ROW()-2&lt;=jNota,A3,"")</calculatedColumnFormula>
    </tableColumn>
    <tableColumn id="2" name="No. Invoice :" dataDxfId="71">
      <calculatedColumnFormula>IF(pajak[[#This Row],[//]]="","",INDEX(Table1[No. Invoice :],pajak[//]-offset))</calculatedColumnFormula>
    </tableColumn>
    <tableColumn id="3" name="Tgl Invoice :" dataDxfId="70">
      <calculatedColumnFormula>IF(pajak[[#This Row],[//]]="","",INDEX(Table1[Tgl Invoice :],pajak[//]-offset))</calculatedColumnFormula>
    </tableColumn>
    <tableColumn id="4" name="Kode Sales :" dataDxfId="69">
      <calculatedColumnFormula>IF(pajak[[#This Row],[//]]="","",INDEX(Table1[Kode Sales :],pajak[//]-offset))</calculatedColumnFormula>
    </tableColumn>
    <tableColumn id="5" name="Toko" dataDxfId="68">
      <calculatedColumnFormula>IF(pajak[[#This Row],[//]]="","",INDEX(Table1[Toko],pajak[//]-offset))</calculatedColumnFormula>
    </tableColumn>
    <tableColumn id="6" name="Total" totalsRowFunction="sum" dataDxfId="67" totalsRowDxfId="66">
      <calculatedColumnFormula>IF(pajak[[#This Row],[//]]="","",SUMIF(Table1[h_id],pajak[[#This Row],[//]],Table1[h_hargasebelumdiskon]))</calculatedColumnFormula>
    </tableColumn>
    <tableColumn id="7" name="Diskon" totalsRowFunction="sum" dataDxfId="65" totalsRowDxfId="64">
      <calculatedColumnFormula>IF(pajak[[#This Row],[//]]="","",SUMIF(Table1[h_id],pajak[[#This Row],[//]],Table1[h_diskon]))</calculatedColumnFormula>
    </tableColumn>
    <tableColumn id="8" name="Sub Total" totalsRowFunction="sum" dataDxfId="63" totalsRowDxfId="62">
      <calculatedColumnFormula>IF(pajak[[#This Row],[//]]="","",SUMIF(Table1[h_id],pajak[[#This Row],[//]],Table1[h_hargasetelahdiskon]))</calculatedColumnFormula>
    </tableColumn>
    <tableColumn id="9" name="PPN 11%" totalsRowFunction="sum" dataDxfId="61" totalsRowDxfId="60">
      <calculatedColumnFormula>IF(pajak[//]="","",pajak[[#This Row],[Sub Total]]/1.11*11%)</calculatedColumnFormula>
    </tableColumn>
    <tableColumn id="10" name="Total Invoice" totalsRowFunction="sum" dataDxfId="59" totalsRowDxfId="58">
      <calculatedColumnFormula>pajak[[#This Row],[Sub Total]]</calculatedColumnFormula>
    </tableColumn>
    <tableColumn id="14" name="pembuat nota" dataDxfId="57">
      <calculatedColumnFormula>IF(pajak[[#This Row],[//]]="","",INDEX(Table1[pembuat nota :],pajak[//]-offset))</calculatedColumnFormula>
    </tableColumn>
    <tableColumn id="15" name="edited" dataDxfId="56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5">
  <autoFilter ref="P2:U55"/>
  <tableColumns count="6">
    <tableColumn id="1" name="cek_ppn" dataDxfId="54">
      <calculatedColumnFormula>IF(pajak[[#This Row],[Kode Sales :]]="","",MATCH(pajak[[#This Row],[Kode Sales :]],[2]Invoice!$D:$D,0))</calculatedColumnFormula>
    </tableColumn>
    <tableColumn id="7" name="NO INVOICE" dataDxfId="53">
      <calculatedColumnFormula>IF((INDEX([2]Invoice!$D:$D,Table4[[#This Row],[cek_ppn]]-4)&amp;" "&amp;INDEX([2]Invoice!$E:$E,Table4[[#This Row],[cek_ppn]]-4))=pajak[[#This Row],[No. Invoice :]],1)</calculatedColumnFormula>
    </tableColumn>
    <tableColumn id="6" name="TGL INVOICE" dataDxfId="52">
      <calculatedColumnFormula>IF((INDEX([2]Invoice!$D:$D,Table4[[#This Row],[cek_ppn]]-2))=pajak[[#This Row],[Tgl Invoice :]],1)</calculatedColumnFormula>
    </tableColumn>
    <tableColumn id="5" name="KODE SALES" dataDxfId="51">
      <calculatedColumnFormula>IF((INDEX([2]Invoice!$D:$D,Table4[[#This Row],[cek_ppn]]))=pajak[[#This Row],[Kode Sales :]],1)</calculatedColumnFormula>
    </tableColumn>
    <tableColumn id="4" name="TOTAL INVOICE" dataDxfId="50">
      <calculatedColumnFormula>IF((INDEX([2]Invoice!$K:$K,Table4[[#This Row],[cek_ppn]]+28))=pajak[[#This Row],[Total Invoice]],1)</calculatedColumnFormula>
    </tableColumn>
    <tableColumn id="3" name="PEMBUAT NOTA" dataDxfId="49">
      <calculatedColumnFormula>IF((INDEX([2]Invoice!$J:$J,Table4[[#This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7">
      <calculatedColumnFormula>MATCH(A2,Table1[H_A1],0)</calculatedColumnFormula>
    </tableColumn>
    <tableColumn id="7" name="//DB" dataDxfId="46">
      <calculatedColumnFormula>MATCH(Table5[[#This Row],[NAMA]],[1]!db[NB PAJAK],0)</calculatedColumnFormula>
    </tableColumn>
    <tableColumn id="2" name="NAMA" dataDxfId="45">
      <calculatedColumnFormula>INDEX(Table1[Item Description],Table5[[#This Row],[//NOTA]])</calculatedColumnFormula>
    </tableColumn>
    <tableColumn id="3" name="QTY" dataDxfId="44">
      <calculatedColumnFormula>SUMIF(Table1[H_A1],Sheet5!A2,Table1[Qty])</calculatedColumnFormula>
    </tableColumn>
    <tableColumn id="4" name="UNIT" dataDxfId="43">
      <calculatedColumnFormula>INDEX(Table1[Unit],Table5[[#This Row],[//NOTA]])</calculatedColumnFormula>
    </tableColumn>
    <tableColumn id="5" name="C" dataDxfId="42">
      <calculatedColumnFormula>SUMIF(Table1[H_A1],Sheet5!A2,Table1[C])</calculatedColumnFormula>
    </tableColumn>
    <tableColumn id="6" name="Unit Price" dataDxfId="41">
      <calculatedColumnFormula>INDEX(Table1[Unit Price],Table5[[#This Row],[//NOTA]])</calculatedColumnFormula>
    </tableColumn>
    <tableColumn id="8" name="a1" dataDxfId="40">
      <calculatedColumnFormula>IF(Table5[[#This Row],[a2]]="","",Table5[[#This Row],[QTY]]*12)</calculatedColumnFormula>
    </tableColumn>
    <tableColumn id="9" name="a2" dataDxfId="39">
      <calculatedColumnFormula>IF(Table5[[#This Row],[UNIT]]="grs","LSN",IF(Table5[[#This Row],[UNIT]]="LSN","PCS",""))</calculatedColumnFormula>
    </tableColumn>
    <tableColumn id="10" name="b1" dataDxfId="38">
      <calculatedColumnFormula>IF(Table5[[#This Row],[a2]]="LSN",Table5[[#This Row],[a1]]*12,"")</calculatedColumnFormula>
    </tableColumn>
    <tableColumn id="11" name="b2" dataDxfId="37">
      <calculatedColumnFormula>IF(Table5[[#This Row],[b1]]="","","PCS")</calculatedColumnFormula>
    </tableColumn>
    <tableColumn id="12" name="c1" dataDxfId="36"/>
    <tableColumn id="13" name="c2" dataDxfId="3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19" totalsRowShown="0">
  <autoFilter ref="A2:E19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4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17"/>
  <sheetViews>
    <sheetView tabSelected="1" topLeftCell="D28" zoomScale="85" zoomScaleNormal="85" workbookViewId="0">
      <selection activeCell="V51" sqref="V51"/>
    </sheetView>
  </sheetViews>
  <sheetFormatPr defaultRowHeight="15" x14ac:dyDescent="0.25"/>
  <cols>
    <col min="1" max="1" width="5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23040001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>
        <f>IF(Table1[[#This Row],[No. Invoice :]]="","",ROW())</f>
        <v>3</v>
      </c>
      <c r="B3" s="196">
        <f>IF(Table1[h_Kode Sales :_1]="","",B$1+COUNT(B$2:B2))</f>
        <v>23040001</v>
      </c>
      <c r="C3" s="98">
        <v>45021</v>
      </c>
      <c r="D3" s="92" t="s">
        <v>129</v>
      </c>
      <c r="E3" s="97" t="s">
        <v>130</v>
      </c>
      <c r="F3" s="92" t="s">
        <v>88</v>
      </c>
      <c r="G3" s="95" t="str">
        <f>IF(Table1[[#This Row],[h_No. Invoice :]]="","",CONCATENATE("AM"," ",Table1[[#This Row],[h_No. Invoice :]]))</f>
        <v>AM 23040001</v>
      </c>
      <c r="H3" s="96" t="str">
        <f>CONCATENATE(UPPER(Table1[[#This Row],[h_Kode Sales :_1]])," ",Table1[[#This Row],[h_Kode Sales :_2]])</f>
        <v>KO 1417</v>
      </c>
      <c r="I3" s="95" t="str">
        <f>IF(Table1[[#This Row],[h_toko]]="","",INDEX(Table2[e],IF(Table1[[#This Row],[h_toko]]="","",MATCH(Table1[[#This Row],[h_toko]],Table2[a],0)),))</f>
        <v>CV PELITA JAYA (ANUGERAH SEJAHTERA) PURWOKERTO</v>
      </c>
      <c r="J3" s="92">
        <v>120</v>
      </c>
      <c r="K3" s="92" t="s">
        <v>131</v>
      </c>
      <c r="L3" s="92">
        <v>2</v>
      </c>
      <c r="M3" s="92" t="s">
        <v>132</v>
      </c>
      <c r="N3" s="196" t="str">
        <f>IF(Table1[[#This Row],[h_Item Description]]="","",INDEX([1]!db[NB PAJAK],MATCH(Table1[[#This Row],[h_Item Description]],[1]!db[kode],0)))</f>
        <v>ISI CUTTER 18 MM KENKO L-150 (BESAR)</v>
      </c>
      <c r="O3" s="92" t="s">
        <v>134</v>
      </c>
      <c r="P3" s="93">
        <v>64800</v>
      </c>
      <c r="Q3" s="94">
        <v>0.13500000000000001</v>
      </c>
      <c r="S3" s="199">
        <f>Table1[[#This Row],[h_hargasetelahdiskon]]</f>
        <v>6726240</v>
      </c>
      <c r="T3" s="93" t="s">
        <v>133</v>
      </c>
      <c r="V3" s="95">
        <f ca="1">IF(Table1[[#This Row],[Item Description]]="","",IF(Table1[[#This Row],[//]]="",INDIRECT(ADDRESS(ROW()-1,COLUMN())),Table1[[#This Row],[//]]))</f>
        <v>3</v>
      </c>
      <c r="W3" s="95">
        <f ca="1">IF(Table1[[#This Row],[h_id]]="","",COUNTIF(Table1[h_id],Table1[[#This Row],[h_id]]))</f>
        <v>1</v>
      </c>
      <c r="X3" s="93">
        <f>IF(Table1[Item Description]="","",Table1[[#This Row],[Qty]]*Table1[[#This Row],[Unit Price]])</f>
        <v>7776000</v>
      </c>
      <c r="Y3" s="93">
        <f>IF(Table1[[#This Row],[h_hargasebelumdiskon]]="","",IF(Table1[[#This Row],[Disc 1]]="",0,Table1[[#This Row],[h_hargasebelumdiskon]]*Table1[[#This Row],[Disc 1]]))</f>
        <v>1049760</v>
      </c>
      <c r="Z3" s="93">
        <f>IF(Table1[[#This Row],[h_hargasebelumdiskon]]="","",IF(Table1[[#This Row],[Disc 2]]="",0,(Table1[[#This Row],[h_hargasebelumdiskon]]-Table1[[#This Row],[h_disc 1]])*Table1[[#This Row],[Disc 2]]))</f>
        <v>0</v>
      </c>
      <c r="AA3" s="93">
        <f>IF(Table1[Item Description]="","",Table1[[#This Row],[h_disc 1]]+Table1[[#This Row],[h_disc 2]])</f>
        <v>1049760</v>
      </c>
      <c r="AB3" s="93">
        <f>IF(Table1[Item Description]="","",Table1[[#This Row],[h_hargasebelumdiskon]]-Table1[[#This Row],[h_diskon]])</f>
        <v>6726240</v>
      </c>
      <c r="AC3" s="93">
        <f ca="1">IF(Table1[//]="","",SUMIF(Table1[h_id],Table1[h_id],Table1[h_hargasetelahdiskon]))</f>
        <v>6726240</v>
      </c>
      <c r="AD3" s="93"/>
      <c r="AE3" s="93" t="str">
        <f>Table1[[#This Row],[Item Description]]&amp;Table1[[#This Row],[Unit]]&amp;Table1[[#This Row],[Unit Price]]</f>
        <v>ISI CUTTER 18 MM KENKO L-150 (BESAR)LSN64800</v>
      </c>
    </row>
    <row r="4" spans="1:31" x14ac:dyDescent="0.25">
      <c r="A4" s="95" t="str">
        <f>IF(Table1[[#This Row],[No. Invoice :]]="","",ROW())</f>
        <v/>
      </c>
      <c r="B4" s="295" t="str">
        <f>IF(Table1[h_Kode Sales :_1]="","",B$1+COUNT(B$2:B3))</f>
        <v/>
      </c>
      <c r="D4" s="296"/>
      <c r="E4" s="297"/>
      <c r="F4" s="296"/>
      <c r="G4" s="95" t="str">
        <f>IF(Table1[[#This Row],[h_No. Invoice :]]="","",CONCATENATE("AM"," ",Table1[[#This Row],[h_No. Invoice :]]))</f>
        <v/>
      </c>
      <c r="H4" s="96" t="str">
        <f>CONCATENATE(UPPER(Table1[[#This Row],[h_Kode Sales :_1]])," ",Table1[[#This Row],[h_Kode Sales :_2]])</f>
        <v xml:space="preserve"> </v>
      </c>
      <c r="I4" s="95" t="str">
        <f>IF(Table1[[#This Row],[h_toko]]="","",INDEX(Table2[e],IF(Table1[[#This Row],[h_toko]]="","",MATCH(Table1[[#This Row],[h_toko]],Table2[a],0)),))</f>
        <v/>
      </c>
      <c r="M4" s="296"/>
      <c r="N4" s="295" t="str">
        <f>IF(Table1[[#This Row],[h_Item Description]]="","",INDEX([1]!db[NB PAJAK],MATCH(Table1[[#This Row],[h_Item Description]],[1]!db[kode],0)))</f>
        <v/>
      </c>
      <c r="P4" s="93"/>
      <c r="Q4" s="94"/>
      <c r="S4" s="298" t="str">
        <f>Table1[[#This Row],[h_hargasetelahdiskon]]</f>
        <v/>
      </c>
      <c r="V4" s="95" t="str">
        <f ca="1">IF(Table1[[#This Row],[Item Description]]="","",IF(Table1[[#This Row],[//]]="",INDIRECT(ADDRESS(ROW()-1,COLUMN())),Table1[[#This Row],[//]]))</f>
        <v/>
      </c>
      <c r="W4" s="95" t="str">
        <f ca="1">IF(Table1[[#This Row],[h_id]]="","",COUNTIF(Table1[h_id],Table1[[#This Row],[h_id]]))</f>
        <v/>
      </c>
      <c r="X4" s="93" t="str">
        <f>IF(Table1[Item Description]="","",Table1[[#This Row],[Qty]]*Table1[[#This Row],[Unit Price]])</f>
        <v/>
      </c>
      <c r="Y4" s="93" t="str">
        <f>IF(Table1[[#This Row],[h_hargasebelumdiskon]]="","",IF(Table1[[#This Row],[Disc 1]]="",0,Table1[[#This Row],[h_hargasebelumdiskon]]*Table1[[#This Row],[Disc 1]]))</f>
        <v/>
      </c>
      <c r="Z4" s="93" t="str">
        <f>IF(Table1[[#This Row],[h_hargasebelumdiskon]]="","",IF(Table1[[#This Row],[Disc 2]]="",0,(Table1[[#This Row],[h_hargasebelumdiskon]]-Table1[[#This Row],[h_disc 1]])*Table1[[#This Row],[Disc 2]]))</f>
        <v/>
      </c>
      <c r="AA4" s="93" t="str">
        <f>IF(Table1[Item Description]="","",Table1[[#This Row],[h_disc 1]]+Table1[[#This Row],[h_disc 2]])</f>
        <v/>
      </c>
      <c r="AB4" s="93" t="str">
        <f>IF(Table1[Item Description]="","",Table1[[#This Row],[h_hargasebelumdiskon]]-Table1[[#This Row],[h_diskon]])</f>
        <v/>
      </c>
      <c r="AC4" s="93" t="str">
        <f>IF(Table1[//]="","",SUMIF(Table1[h_id],Table1[h_id],Table1[h_hargasetelahdiskon]))</f>
        <v/>
      </c>
      <c r="AD4" s="93"/>
      <c r="AE4" s="93" t="str">
        <f>Table1[[#This Row],[Item Description]]&amp;Table1[[#This Row],[Unit]]&amp;Table1[[#This Row],[Unit Price]]</f>
        <v/>
      </c>
    </row>
    <row r="5" spans="1:31" x14ac:dyDescent="0.25">
      <c r="A5" s="95">
        <f>IF(Table1[[#This Row],[No. Invoice :]]="","",ROW())</f>
        <v>5</v>
      </c>
      <c r="B5" s="196">
        <f>IF(Table1[h_Kode Sales :_1]="","",B$1+COUNT(B$2:B3))</f>
        <v>23040002</v>
      </c>
      <c r="C5" s="98">
        <v>45024</v>
      </c>
      <c r="D5" s="92" t="s">
        <v>129</v>
      </c>
      <c r="E5" s="97" t="s">
        <v>137</v>
      </c>
      <c r="F5" s="92" t="s">
        <v>88</v>
      </c>
      <c r="G5" s="95" t="str">
        <f>IF(Table1[[#This Row],[h_No. Invoice :]]="","",CONCATENATE("AM"," ",Table1[[#This Row],[h_No. Invoice :]]))</f>
        <v>AM 23040002</v>
      </c>
      <c r="H5" s="96" t="str">
        <f>CONCATENATE(UPPER(Table1[[#This Row],[h_Kode Sales :_1]])," ",Table1[[#This Row],[h_Kode Sales :_2]])</f>
        <v>KO 1435</v>
      </c>
      <c r="I5" s="95" t="str">
        <f>IF(Table1[[#This Row],[h_toko]]="","",INDEX(Table2[e],IF(Table1[[#This Row],[h_toko]]="","",MATCH(Table1[[#This Row],[h_toko]],Table2[a],0)),))</f>
        <v>CV PELITA JAYA (ANUGERAH SEJAHTERA) PURWOKERTO</v>
      </c>
      <c r="J5" s="92">
        <v>144</v>
      </c>
      <c r="K5" s="92" t="s">
        <v>131</v>
      </c>
      <c r="L5" s="92">
        <v>1</v>
      </c>
      <c r="M5" s="92" t="s">
        <v>138</v>
      </c>
      <c r="N5" s="196" t="str">
        <f>IF(Table1[[#This Row],[h_Item Description]]="","",INDEX([1]!db[NB PAJAK],MATCH(Table1[[#This Row],[h_Item Description]],[1]!db[kode],0)))</f>
        <v>BALLPEN JOYKO BP-338 VOCUS HITAM</v>
      </c>
      <c r="O5" s="92" t="s">
        <v>146</v>
      </c>
      <c r="P5" s="93">
        <v>12600</v>
      </c>
      <c r="Q5" s="94">
        <v>0.13500000000000001</v>
      </c>
      <c r="S5" s="199">
        <f>Table1[[#This Row],[h_hargasetelahdiskon]]</f>
        <v>1569456</v>
      </c>
      <c r="T5" s="93" t="s">
        <v>133</v>
      </c>
      <c r="V5" s="95">
        <f ca="1">IF(Table1[[#This Row],[Item Description]]="","",IF(Table1[[#This Row],[//]]="",INDIRECT(ADDRESS(ROW()-1,COLUMN())),Table1[[#This Row],[//]]))</f>
        <v>5</v>
      </c>
      <c r="W5" s="95">
        <f ca="1">IF(Table1[[#This Row],[h_id]]="","",COUNTIF(Table1[h_id],Table1[[#This Row],[h_id]]))</f>
        <v>6</v>
      </c>
      <c r="X5" s="93">
        <f>IF(Table1[Item Description]="","",Table1[[#This Row],[Qty]]*Table1[[#This Row],[Unit Price]])</f>
        <v>1814400</v>
      </c>
      <c r="Y5" s="93">
        <f>IF(Table1[[#This Row],[h_hargasebelumdiskon]]="","",IF(Table1[[#This Row],[Disc 1]]="",0,Table1[[#This Row],[h_hargasebelumdiskon]]*Table1[[#This Row],[Disc 1]]))</f>
        <v>244944.00000000003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244944.00000000003</v>
      </c>
      <c r="AB5" s="93">
        <f>IF(Table1[Item Description]="","",Table1[[#This Row],[h_hargasebelumdiskon]]-Table1[[#This Row],[h_diskon]])</f>
        <v>1569456</v>
      </c>
      <c r="AC5" s="93">
        <f ca="1">IF(Table1[//]="","",SUMIF(Table1[h_id],Table1[h_id],Table1[h_hargasetelahdiskon]))</f>
        <v>19209228</v>
      </c>
      <c r="AD5" s="93"/>
      <c r="AE5" s="93" t="str">
        <f>Table1[[#This Row],[Item Description]]&amp;Table1[[#This Row],[Unit]]&amp;Table1[[#This Row],[Unit Price]]</f>
        <v>BALLPEN JOYKO BP-338 VOCUS HITAMLSN12600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D6" s="197"/>
      <c r="E6" s="198"/>
      <c r="F6" s="197"/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J6" s="92">
        <v>800</v>
      </c>
      <c r="K6" s="92" t="s">
        <v>139</v>
      </c>
      <c r="L6" s="92">
        <v>4</v>
      </c>
      <c r="M6" s="92" t="s">
        <v>140</v>
      </c>
      <c r="N6" s="196" t="str">
        <f>IF(Table1[[#This Row],[h_Item Description]]="","",INDEX([1]!db[NB PAJAK],MATCH(Table1[[#This Row],[h_Item Description]],[1]!db[kode],0)))</f>
        <v>ISI STAPLER (STAPLES) KENKO 1210 PREMIUM (23/10)</v>
      </c>
      <c r="O6" s="92" t="s">
        <v>147</v>
      </c>
      <c r="P6" s="93">
        <v>4200</v>
      </c>
      <c r="Q6" s="94">
        <v>0.13500000000000001</v>
      </c>
      <c r="S6" s="199">
        <f>Table1[[#This Row],[h_hargasetelahdiskon]]</f>
        <v>2906400</v>
      </c>
      <c r="V6" s="95">
        <f ca="1">IF(Table1[[#This Row],[Item Description]]="","",IF(Table1[[#This Row],[//]]="",INDIRECT(ADDRESS(ROW()-1,COLUMN())),Table1[[#This Row],[//]]))</f>
        <v>5</v>
      </c>
      <c r="W6" s="95">
        <f ca="1">IF(Table1[[#This Row],[h_id]]="","",COUNTIF(Table1[h_id],Table1[[#This Row],[h_id]]))</f>
        <v>6</v>
      </c>
      <c r="X6" s="93">
        <f>IF(Table1[Item Description]="","",Table1[[#This Row],[Qty]]*Table1[[#This Row],[Unit Price]])</f>
        <v>3360000</v>
      </c>
      <c r="Y6" s="93">
        <f>IF(Table1[[#This Row],[h_hargasebelumdiskon]]="","",IF(Table1[[#This Row],[Disc 1]]="",0,Table1[[#This Row],[h_hargasebelumdiskon]]*Table1[[#This Row],[Disc 1]]))</f>
        <v>453600.00000000006</v>
      </c>
      <c r="Z6" s="93">
        <f>IF(Table1[[#This Row],[h_hargasebelumdiskon]]="","",IF(Table1[[#This Row],[Disc 2]]="",0,(Table1[[#This Row],[h_hargasebelumdiskon]]-Table1[[#This Row],[h_disc 1]])*Table1[[#This Row],[Disc 2]]))</f>
        <v>0</v>
      </c>
      <c r="AA6" s="93">
        <f>IF(Table1[Item Description]="","",Table1[[#This Row],[h_disc 1]]+Table1[[#This Row],[h_disc 2]])</f>
        <v>453600.00000000006</v>
      </c>
      <c r="AB6" s="93">
        <f>IF(Table1[Item Description]="","",Table1[[#This Row],[h_hargasebelumdiskon]]-Table1[[#This Row],[h_diskon]])</f>
        <v>2906400</v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>ISI STAPLER (STAPLES) KENKO 1210 PREMIUM (23/10)BOX4200</v>
      </c>
    </row>
    <row r="7" spans="1:31" x14ac:dyDescent="0.25">
      <c r="A7" s="95" t="str">
        <f>IF(Table1[[#This Row],[No. Invoice :]]="","",ROW())</f>
        <v/>
      </c>
      <c r="B7" s="196" t="str">
        <f>IF(Table1[h_Kode Sales :_1]="","",B$1+COUNT(B$2:B6))</f>
        <v/>
      </c>
      <c r="G7" s="95" t="str">
        <f>IF(Table1[[#This Row],[h_No. Invoice :]]="","",CONCATENATE("AM"," ",Table1[[#This Row],[h_No. Invoice :]]))</f>
        <v/>
      </c>
      <c r="H7" s="96" t="str">
        <f>CONCATENATE(UPPER(Table1[[#This Row],[h_Kode Sales :_1]])," ",Table1[[#This Row],[h_Kode Sales :_2]])</f>
        <v xml:space="preserve"> </v>
      </c>
      <c r="I7" s="95" t="str">
        <f>IF(Table1[[#This Row],[h_toko]]="","",INDEX(Table2[e],IF(Table1[[#This Row],[h_toko]]="","",MATCH(Table1[[#This Row],[h_toko]],Table2[a],0)),))</f>
        <v/>
      </c>
      <c r="J7" s="92">
        <v>216</v>
      </c>
      <c r="K7" s="92" t="s">
        <v>131</v>
      </c>
      <c r="L7" s="92">
        <v>3</v>
      </c>
      <c r="M7" s="92" t="s">
        <v>141</v>
      </c>
      <c r="N7" s="196" t="str">
        <f>IF(Table1[[#This Row],[h_Item Description]]="","",INDEX([1]!db[NB PAJAK],MATCH(Table1[[#This Row],[h_Item Description]],[1]!db[kode],0)))</f>
        <v>CORRECTION FLUID KENKO KE-01</v>
      </c>
      <c r="O7" s="92" t="s">
        <v>148</v>
      </c>
      <c r="P7" s="93">
        <v>54300</v>
      </c>
      <c r="Q7" s="94">
        <v>0.13500000000000001</v>
      </c>
      <c r="S7" s="199">
        <f>Table1[[#This Row],[h_hargasetelahdiskon]]</f>
        <v>10145412</v>
      </c>
      <c r="V7" s="95">
        <f ca="1">IF(Table1[[#This Row],[Item Description]]="","",IF(Table1[[#This Row],[//]]="",INDIRECT(ADDRESS(ROW()-1,COLUMN())),Table1[[#This Row],[//]]))</f>
        <v>5</v>
      </c>
      <c r="W7" s="95">
        <f ca="1">IF(Table1[[#This Row],[h_id]]="","",COUNTIF(Table1[h_id],Table1[[#This Row],[h_id]]))</f>
        <v>6</v>
      </c>
      <c r="X7" s="93">
        <f>IF(Table1[Item Description]="","",Table1[[#This Row],[Qty]]*Table1[[#This Row],[Unit Price]])</f>
        <v>11728800</v>
      </c>
      <c r="Y7" s="93">
        <f>IF(Table1[[#This Row],[h_hargasebelumdiskon]]="","",IF(Table1[[#This Row],[Disc 1]]="",0,Table1[[#This Row],[h_hargasebelumdiskon]]*Table1[[#This Row],[Disc 1]]))</f>
        <v>1583388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1583388</v>
      </c>
      <c r="AB7" s="93">
        <f>IF(Table1[Item Description]="","",Table1[[#This Row],[h_hargasebelumdiskon]]-Table1[[#This Row],[h_diskon]])</f>
        <v>10145412</v>
      </c>
      <c r="AC7" s="93" t="str">
        <f>IF(Table1[//]="","",SUMIF(Table1[h_id],Table1[h_id],Table1[h_hargasetelahdiskon]))</f>
        <v/>
      </c>
      <c r="AD7" s="93"/>
      <c r="AE7" s="93" t="str">
        <f>Table1[[#This Row],[Item Description]]&amp;Table1[[#This Row],[Unit]]&amp;Table1[[#This Row],[Unit Price]]</f>
        <v>CORRECTION FLUID KENKO KE-01LSN54300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D8" s="197"/>
      <c r="E8" s="198"/>
      <c r="F8" s="197"/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J8" s="92">
        <v>36</v>
      </c>
      <c r="K8" s="92" t="s">
        <v>139</v>
      </c>
      <c r="L8" s="92">
        <v>1</v>
      </c>
      <c r="M8" s="92" t="s">
        <v>142</v>
      </c>
      <c r="N8" s="196" t="str">
        <f>IF(Table1[[#This Row],[h_Item Description]]="","",INDEX([1]!db[NB PAJAK],MATCH(Table1[[#This Row],[h_Item Description]],[1]!db[kode],0)))</f>
        <v>LEM STICK KENKO 8 GR (KECIL) isi 30 pc</v>
      </c>
      <c r="O8" s="92" t="s">
        <v>149</v>
      </c>
      <c r="P8" s="93">
        <v>66000</v>
      </c>
      <c r="Q8" s="94">
        <v>0.13500000000000001</v>
      </c>
      <c r="S8" s="199">
        <f>Table1[[#This Row],[h_hargasetelahdiskon]]</f>
        <v>2055240</v>
      </c>
      <c r="V8" s="95">
        <f ca="1">IF(Table1[[#This Row],[Item Description]]="","",IF(Table1[[#This Row],[//]]="",INDIRECT(ADDRESS(ROW()-1,COLUMN())),Table1[[#This Row],[//]]))</f>
        <v>5</v>
      </c>
      <c r="W8" s="95">
        <f ca="1">IF(Table1[[#This Row],[h_id]]="","",COUNTIF(Table1[h_id],Table1[[#This Row],[h_id]]))</f>
        <v>6</v>
      </c>
      <c r="X8" s="93">
        <f>IF(Table1[Item Description]="","",Table1[[#This Row],[Qty]]*Table1[[#This Row],[Unit Price]])</f>
        <v>2376000</v>
      </c>
      <c r="Y8" s="93">
        <f>IF(Table1[[#This Row],[h_hargasebelumdiskon]]="","",IF(Table1[[#This Row],[Disc 1]]="",0,Table1[[#This Row],[h_hargasebelumdiskon]]*Table1[[#This Row],[Disc 1]]))</f>
        <v>320760</v>
      </c>
      <c r="Z8" s="93">
        <f>IF(Table1[[#This Row],[h_hargasebelumdiskon]]="","",IF(Table1[[#This Row],[Disc 2]]="",0,(Table1[[#This Row],[h_hargasebelumdiskon]]-Table1[[#This Row],[h_disc 1]])*Table1[[#This Row],[Disc 2]]))</f>
        <v>0</v>
      </c>
      <c r="AA8" s="93">
        <f>IF(Table1[Item Description]="","",Table1[[#This Row],[h_disc 1]]+Table1[[#This Row],[h_disc 2]])</f>
        <v>320760</v>
      </c>
      <c r="AB8" s="93">
        <f>IF(Table1[Item Description]="","",Table1[[#This Row],[h_hargasebelumdiskon]]-Table1[[#This Row],[h_diskon]])</f>
        <v>2055240</v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>LEM STICK KENKO 8 GR (KECIL) isi 30 pcBOX66000</v>
      </c>
    </row>
    <row r="9" spans="1:31" x14ac:dyDescent="0.25">
      <c r="A9" s="95" t="str">
        <f>IF(Table1[[#This Row],[No. Invoice :]]="","",ROW())</f>
        <v/>
      </c>
      <c r="B9" s="196" t="str">
        <f>IF(Table1[h_Kode Sales :_1]="","",B$1+COUNT(B$2:B8))</f>
        <v/>
      </c>
      <c r="G9" s="95" t="str">
        <f>IF(Table1[[#This Row],[h_No. Invoice :]]="","",CONCATENATE("AM"," ",Table1[[#This Row],[h_No. Invoice :]]))</f>
        <v/>
      </c>
      <c r="H9" s="96" t="str">
        <f>CONCATENATE(UPPER(Table1[[#This Row],[h_Kode Sales :_1]])," ",Table1[[#This Row],[h_Kode Sales :_2]])</f>
        <v xml:space="preserve"> </v>
      </c>
      <c r="I9" s="95" t="str">
        <f>IF(Table1[[#This Row],[h_toko]]="","",INDEX(Table2[e],IF(Table1[[#This Row],[h_toko]]="","",MATCH(Table1[[#This Row],[h_toko]],Table2[a],0)),))</f>
        <v/>
      </c>
      <c r="J9" s="92">
        <v>480</v>
      </c>
      <c r="K9" s="92" t="s">
        <v>143</v>
      </c>
      <c r="L9" s="92">
        <v>1</v>
      </c>
      <c r="N9" s="196" t="str">
        <f>IF(Table1[[#This Row],[h_Item Description]]="","",INDEX([1]!db[NB PAJAK],MATCH(Table1[[#This Row],[h_Item Description]],[1]!db[kode],0)))</f>
        <v/>
      </c>
      <c r="O9" s="92" t="s">
        <v>144</v>
      </c>
      <c r="P9" s="93">
        <v>3050</v>
      </c>
      <c r="Q9" s="94">
        <v>0.13500000000000001</v>
      </c>
      <c r="S9" s="199">
        <f>Table1[[#This Row],[h_hargasetelahdiskon]]</f>
        <v>1266360</v>
      </c>
      <c r="V9" s="95">
        <f ca="1">IF(Table1[[#This Row],[Item Description]]="","",IF(Table1[[#This Row],[//]]="",INDIRECT(ADDRESS(ROW()-1,COLUMN())),Table1[[#This Row],[//]]))</f>
        <v>5</v>
      </c>
      <c r="W9" s="95">
        <f ca="1">IF(Table1[[#This Row],[h_id]]="","",COUNTIF(Table1[h_id],Table1[[#This Row],[h_id]]))</f>
        <v>6</v>
      </c>
      <c r="X9" s="93">
        <f>IF(Table1[Item Description]="","",Table1[[#This Row],[Qty]]*Table1[[#This Row],[Unit Price]])</f>
        <v>1464000</v>
      </c>
      <c r="Y9" s="93">
        <f>IF(Table1[[#This Row],[h_hargasebelumdiskon]]="","",IF(Table1[[#This Row],[Disc 1]]="",0,Table1[[#This Row],[h_hargasebelumdiskon]]*Table1[[#This Row],[Disc 1]]))</f>
        <v>197640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197640</v>
      </c>
      <c r="AB9" s="93">
        <f>IF(Table1[Item Description]="","",Table1[[#This Row],[h_hargasebelumdiskon]]-Table1[[#This Row],[h_diskon]])</f>
        <v>1266360</v>
      </c>
      <c r="AC9" s="93" t="str">
        <f>IF(Table1[//]="","",SUMIF(Table1[h_id],Table1[h_id],Table1[h_hargasetelahdiskon]))</f>
        <v/>
      </c>
      <c r="AD9" s="93"/>
      <c r="AE9" s="93" t="str">
        <f>Table1[[#This Row],[Item Description]]&amp;Table1[[#This Row],[Unit]]&amp;Table1[[#This Row],[Unit Price]]</f>
        <v>HIGHLIGHTER / STABILO KENKO HL-100 PINKPCS3050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480</v>
      </c>
      <c r="K10" s="92" t="s">
        <v>143</v>
      </c>
      <c r="L10" s="92">
        <v>1</v>
      </c>
      <c r="N10" s="196" t="str">
        <f>IF(Table1[[#This Row],[h_Item Description]]="","",INDEX([1]!db[NB PAJAK],MATCH(Table1[[#This Row],[h_Item Description]],[1]!db[kode],0)))</f>
        <v/>
      </c>
      <c r="O10" s="92" t="s">
        <v>145</v>
      </c>
      <c r="P10" s="93">
        <v>3050</v>
      </c>
      <c r="Q10" s="94">
        <v>0.13500000000000001</v>
      </c>
      <c r="S10" s="199">
        <f>Table1[[#This Row],[h_hargasetelahdiskon]]</f>
        <v>1266360</v>
      </c>
      <c r="V10" s="95">
        <f ca="1">IF(Table1[[#This Row],[Item Description]]="","",IF(Table1[[#This Row],[//]]="",INDIRECT(ADDRESS(ROW()-1,COLUMN())),Table1[[#This Row],[//]]))</f>
        <v>5</v>
      </c>
      <c r="W10" s="95">
        <f ca="1">IF(Table1[[#This Row],[h_id]]="","",COUNTIF(Table1[h_id],Table1[[#This Row],[h_id]]))</f>
        <v>6</v>
      </c>
      <c r="X10" s="93">
        <f>IF(Table1[Item Description]="","",Table1[[#This Row],[Qty]]*Table1[[#This Row],[Unit Price]])</f>
        <v>1464000</v>
      </c>
      <c r="Y10" s="93">
        <f>IF(Table1[[#This Row],[h_hargasebelumdiskon]]="","",IF(Table1[[#This Row],[Disc 1]]="",0,Table1[[#This Row],[h_hargasebelumdiskon]]*Table1[[#This Row],[Disc 1]]))</f>
        <v>197640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197640</v>
      </c>
      <c r="AB10" s="93">
        <f>IF(Table1[Item Description]="","",Table1[[#This Row],[h_hargasebelumdiskon]]-Table1[[#This Row],[h_diskon]])</f>
        <v>1266360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HIGHLIGHTER / STABILO KENKO HL-100 HIJAUPCS3050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N11" s="196" t="str">
        <f>IF(Table1[[#This Row],[h_Item Description]]="","",INDEX([1]!db[NB PAJAK],MATCH(Table1[[#This Row],[h_Item Description]],[1]!db[kode],0)))</f>
        <v/>
      </c>
      <c r="P11" s="93"/>
      <c r="Q11" s="94"/>
      <c r="S11" s="199" t="str">
        <f>Table1[[#This Row],[h_hargasetelahdiskon]]</f>
        <v/>
      </c>
      <c r="V11" s="95" t="str">
        <f ca="1">IF(Table1[[#This Row],[Item Description]]="","",IF(Table1[[#This Row],[//]]="",INDIRECT(ADDRESS(ROW()-1,COLUMN())),Table1[[#This Row],[//]]))</f>
        <v/>
      </c>
      <c r="W11" s="95" t="str">
        <f ca="1">IF(Table1[[#This Row],[h_id]]="","",COUNTIF(Table1[h_id],Table1[[#This Row],[h_id]]))</f>
        <v/>
      </c>
      <c r="X11" s="93" t="str">
        <f>IF(Table1[Item Description]="","",Table1[[#This Row],[Qty]]*Table1[[#This Row],[Unit Price]])</f>
        <v/>
      </c>
      <c r="Y11" s="93" t="str">
        <f>IF(Table1[[#This Row],[h_hargasebelumdiskon]]="","",IF(Table1[[#This Row],[Disc 1]]="",0,Table1[[#This Row],[h_hargasebelumdiskon]]*Table1[[#This Row],[Disc 1]]))</f>
        <v/>
      </c>
      <c r="Z11" s="93" t="str">
        <f>IF(Table1[[#This Row],[h_hargasebelumdiskon]]="","",IF(Table1[[#This Row],[Disc 2]]="",0,(Table1[[#This Row],[h_hargasebelumdiskon]]-Table1[[#This Row],[h_disc 1]])*Table1[[#This Row],[Disc 2]]))</f>
        <v/>
      </c>
      <c r="AA11" s="93" t="str">
        <f>IF(Table1[Item Description]="","",Table1[[#This Row],[h_disc 1]]+Table1[[#This Row],[h_disc 2]])</f>
        <v/>
      </c>
      <c r="AB11" s="93" t="str">
        <f>IF(Table1[Item Description]="","",Table1[[#This Row],[h_hargasebelumdiskon]]-Table1[[#This Row],[h_diskon]])</f>
        <v/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/>
      </c>
    </row>
    <row r="12" spans="1:31" x14ac:dyDescent="0.25">
      <c r="A12" s="95">
        <f>IF(Table1[[#This Row],[No. Invoice :]]="","",ROW())</f>
        <v>12</v>
      </c>
      <c r="B12" s="196">
        <f>IF(Table1[h_Kode Sales :_1]="","",B$1+COUNT(B$2:B11))</f>
        <v>23040003</v>
      </c>
      <c r="C12" s="98">
        <v>45024</v>
      </c>
      <c r="D12" s="92" t="s">
        <v>129</v>
      </c>
      <c r="E12" s="97" t="s">
        <v>156</v>
      </c>
      <c r="F12" s="92" t="s">
        <v>88</v>
      </c>
      <c r="G12" s="95" t="str">
        <f>IF(Table1[[#This Row],[h_No. Invoice :]]="","",CONCATENATE("AM"," ",Table1[[#This Row],[h_No. Invoice :]]))</f>
        <v>AM 23040003</v>
      </c>
      <c r="H12" s="96" t="str">
        <f>CONCATENATE(UPPER(Table1[[#This Row],[h_Kode Sales :_1]])," ",Table1[[#This Row],[h_Kode Sales :_2]])</f>
        <v>KO 1458</v>
      </c>
      <c r="I12" s="95" t="str">
        <f>IF(Table1[[#This Row],[h_toko]]="","",INDEX(Table2[e],IF(Table1[[#This Row],[h_toko]]="","",MATCH(Table1[[#This Row],[h_toko]],Table2[a],0)),))</f>
        <v>CV PELITA JAYA (ANUGERAH SEJAHTERA) PURWOKERTO</v>
      </c>
      <c r="J12" s="92">
        <v>144</v>
      </c>
      <c r="K12" s="92" t="s">
        <v>131</v>
      </c>
      <c r="L12" s="92">
        <v>1</v>
      </c>
      <c r="M12" s="92" t="s">
        <v>157</v>
      </c>
      <c r="N12" s="196" t="str">
        <f>IF(Table1[[#This Row],[h_Item Description]]="","",INDEX([1]!db[NB PAJAK],MATCH(Table1[[#This Row],[h_Item Description]],[1]!db[kode],0)))</f>
        <v>GEL PEN JOYKO GP-265 Q-GEL</v>
      </c>
      <c r="O12" s="92" t="s">
        <v>159</v>
      </c>
      <c r="P12" s="93">
        <v>28200</v>
      </c>
      <c r="Q12" s="94">
        <v>0.13500000000000001</v>
      </c>
      <c r="S12" s="199">
        <f>Table1[[#This Row],[h_hargasetelahdiskon]]</f>
        <v>3512592</v>
      </c>
      <c r="T12" s="93" t="s">
        <v>133</v>
      </c>
      <c r="V12" s="95">
        <f ca="1">IF(Table1[[#This Row],[Item Description]]="","",IF(Table1[[#This Row],[//]]="",INDIRECT(ADDRESS(ROW()-1,COLUMN())),Table1[[#This Row],[//]]))</f>
        <v>12</v>
      </c>
      <c r="W12" s="95">
        <f ca="1">IF(Table1[[#This Row],[h_id]]="","",COUNTIF(Table1[h_id],Table1[[#This Row],[h_id]]))</f>
        <v>2</v>
      </c>
      <c r="X12" s="93">
        <f>IF(Table1[Item Description]="","",Table1[[#This Row],[Qty]]*Table1[[#This Row],[Unit Price]])</f>
        <v>4060800</v>
      </c>
      <c r="Y12" s="93">
        <f>IF(Table1[[#This Row],[h_hargasebelumdiskon]]="","",IF(Table1[[#This Row],[Disc 1]]="",0,Table1[[#This Row],[h_hargasebelumdiskon]]*Table1[[#This Row],[Disc 1]]))</f>
        <v>548208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548208</v>
      </c>
      <c r="AB12" s="93">
        <f>IF(Table1[Item Description]="","",Table1[[#This Row],[h_hargasebelumdiskon]]-Table1[[#This Row],[h_diskon]])</f>
        <v>3512592</v>
      </c>
      <c r="AC12" s="93">
        <f ca="1">IF(Table1[//]="","",SUMIF(Table1[h_id],Table1[h_id],Table1[h_hargasetelahdiskon]))</f>
        <v>4736567</v>
      </c>
      <c r="AD12" s="93"/>
      <c r="AE12" s="93" t="str">
        <f>Table1[[#This Row],[Item Description]]&amp;Table1[[#This Row],[Unit]]&amp;Table1[[#This Row],[Unit Price]]</f>
        <v>GEL PEN JOYKO GP-265 Q-GELLSN28200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D13" s="197"/>
      <c r="E13" s="198"/>
      <c r="F13" s="197"/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v>50</v>
      </c>
      <c r="K13" s="92" t="s">
        <v>139</v>
      </c>
      <c r="L13" s="92">
        <v>1</v>
      </c>
      <c r="M13" s="92" t="s">
        <v>158</v>
      </c>
      <c r="N13" s="196" t="str">
        <f>IF(Table1[[#This Row],[h_Item Description]]="","",INDEX([1]!db[NB PAJAK],MATCH(Table1[[#This Row],[h_Item Description]],[1]!db[kode],0)))</f>
        <v>STIP / PENGHAPUS JOYKO 526-B40P PUTIH</v>
      </c>
      <c r="O13" s="92" t="s">
        <v>160</v>
      </c>
      <c r="P13" s="93">
        <v>28300</v>
      </c>
      <c r="Q13" s="94">
        <v>0.13500000000000001</v>
      </c>
      <c r="S13" s="199">
        <f>Table1[[#This Row],[h_hargasetelahdiskon]]</f>
        <v>1223975</v>
      </c>
      <c r="V13" s="95">
        <f ca="1">IF(Table1[[#This Row],[Item Description]]="","",IF(Table1[[#This Row],[//]]="",INDIRECT(ADDRESS(ROW()-1,COLUMN())),Table1[[#This Row],[//]]))</f>
        <v>12</v>
      </c>
      <c r="W13" s="95">
        <f ca="1">IF(Table1[[#This Row],[h_id]]="","",COUNTIF(Table1[h_id],Table1[[#This Row],[h_id]]))</f>
        <v>2</v>
      </c>
      <c r="X13" s="93">
        <f>IF(Table1[Item Description]="","",Table1[[#This Row],[Qty]]*Table1[[#This Row],[Unit Price]])</f>
        <v>1415000</v>
      </c>
      <c r="Y13" s="93">
        <f>IF(Table1[[#This Row],[h_hargasebelumdiskon]]="","",IF(Table1[[#This Row],[Disc 1]]="",0,Table1[[#This Row],[h_hargasebelumdiskon]]*Table1[[#This Row],[Disc 1]]))</f>
        <v>191025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191025</v>
      </c>
      <c r="AB13" s="93">
        <f>IF(Table1[Item Description]="","",Table1[[#This Row],[h_hargasebelumdiskon]]-Table1[[#This Row],[h_diskon]])</f>
        <v>1223975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STIP / PENGHAPUS JOYKO 526-B40P PUTIHBOX28300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:_1]="","",B$1+COUNT(B$2:B13))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23040004</v>
      </c>
      <c r="C15" s="98">
        <v>45024</v>
      </c>
      <c r="D15" s="92" t="s">
        <v>136</v>
      </c>
      <c r="E15" s="97" t="s">
        <v>162</v>
      </c>
      <c r="F15" s="92" t="s">
        <v>97</v>
      </c>
      <c r="G15" s="95" t="str">
        <f>IF(Table1[[#This Row],[h_No. Invoice :]]="","",CONCATENATE("AM"," ",Table1[[#This Row],[h_No. Invoice :]]))</f>
        <v>AM 23040004</v>
      </c>
      <c r="H15" s="96" t="str">
        <f>CONCATENATE(UPPER(Table1[[#This Row],[h_Kode Sales :_1]])," ",Table1[[#This Row],[h_Kode Sales :_2]])</f>
        <v>G 1459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240</v>
      </c>
      <c r="K15" s="92" t="s">
        <v>143</v>
      </c>
      <c r="L15" s="92">
        <v>5</v>
      </c>
      <c r="M15" s="92" t="s">
        <v>164</v>
      </c>
      <c r="N15" s="196" t="str">
        <f>IF(Table1[[#This Row],[h_Item Description]]="","",INDEX([1]!db[NB PAJAK],MATCH(Table1[[#This Row],[h_Item Description]],[1]!db[kode],0)))</f>
        <v>CRAYON / OIL PASTEL JOYKO OP-24S PP CASE SEA WORLD</v>
      </c>
      <c r="O15" s="92" t="s">
        <v>166</v>
      </c>
      <c r="P15" s="93">
        <v>29600</v>
      </c>
      <c r="Q15" s="94">
        <v>0.125</v>
      </c>
      <c r="R15" s="94">
        <v>0.03</v>
      </c>
      <c r="S15" s="199">
        <f>Table1[[#This Row],[h_hargasetelahdiskon]]</f>
        <v>6029520</v>
      </c>
      <c r="T15" s="93" t="s">
        <v>133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3</v>
      </c>
      <c r="X15" s="93">
        <f>IF(Table1[Item Description]="","",Table1[[#This Row],[Qty]]*Table1[[#This Row],[Unit Price]])</f>
        <v>7104000</v>
      </c>
      <c r="Y15" s="93">
        <f>IF(Table1[[#This Row],[h_hargasebelumdiskon]]="","",IF(Table1[[#This Row],[Disc 1]]="",0,Table1[[#This Row],[h_hargasebelumdiskon]]*Table1[[#This Row],[Disc 1]]))</f>
        <v>888000</v>
      </c>
      <c r="Z15" s="93">
        <f>IF(Table1[[#This Row],[h_hargasebelumdiskon]]="","",IF(Table1[[#This Row],[Disc 2]]="",0,(Table1[[#This Row],[h_hargasebelumdiskon]]-Table1[[#This Row],[h_disc 1]])*Table1[[#This Row],[Disc 2]]))</f>
        <v>186480</v>
      </c>
      <c r="AA15" s="93">
        <f>IF(Table1[Item Description]="","",Table1[[#This Row],[h_disc 1]]+Table1[[#This Row],[h_disc 2]])</f>
        <v>1074480</v>
      </c>
      <c r="AB15" s="93">
        <f>IF(Table1[Item Description]="","",Table1[[#This Row],[h_hargasebelumdiskon]]-Table1[[#This Row],[h_diskon]])</f>
        <v>6029520</v>
      </c>
      <c r="AC15" s="93">
        <f ca="1">IF(Table1[//]="","",SUMIF(Table1[h_id],Table1[h_id],Table1[h_hargasetelahdiskon]))</f>
        <v>12993645</v>
      </c>
      <c r="AD15" s="93"/>
      <c r="AE15" s="93" t="str">
        <f>Table1[[#This Row],[Item Description]]&amp;Table1[[#This Row],[Unit]]&amp;Table1[[#This Row],[Unit Price]]</f>
        <v>CRAYON / OIL PASTEL JOYKO OP-24S PP CASE SEA WORLDPCS29600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720</v>
      </c>
      <c r="K16" s="92" t="s">
        <v>143</v>
      </c>
      <c r="L16" s="92">
        <v>1</v>
      </c>
      <c r="M16" s="92" t="s">
        <v>163</v>
      </c>
      <c r="N16" s="196" t="str">
        <f>IF(Table1[[#This Row],[h_Item Description]]="","",INDEX([1]!db[NB PAJAK],MATCH(Table1[[#This Row],[h_Item Description]],[1]!db[kode],0)))</f>
        <v>CORRECTION TAPE JOYKO CT-522</v>
      </c>
      <c r="O16" s="92" t="s">
        <v>167</v>
      </c>
      <c r="P16" s="93">
        <v>4800</v>
      </c>
      <c r="Q16" s="94">
        <v>0.125</v>
      </c>
      <c r="S16" s="199">
        <f>Table1[[#This Row],[h_hargasetelahdiskon]]</f>
        <v>3024000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3</v>
      </c>
      <c r="X16" s="93">
        <f>IF(Table1[Item Description]="","",Table1[[#This Row],[Qty]]*Table1[[#This Row],[Unit Price]])</f>
        <v>3456000</v>
      </c>
      <c r="Y16" s="93">
        <f>IF(Table1[[#This Row],[h_hargasebelumdiskon]]="","",IF(Table1[[#This Row],[Disc 1]]="",0,Table1[[#This Row],[h_hargasebelumdiskon]]*Table1[[#This Row],[Disc 1]]))</f>
        <v>432000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432000</v>
      </c>
      <c r="AB16" s="93">
        <f>IF(Table1[Item Description]="","",Table1[[#This Row],[h_hargasebelumdiskon]]-Table1[[#This Row],[h_diskon]])</f>
        <v>3024000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CORRECTION TAPE JOYKO CT-522PCS4800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J17" s="92">
        <v>60</v>
      </c>
      <c r="K17" s="92" t="s">
        <v>143</v>
      </c>
      <c r="L17" s="92">
        <v>1</v>
      </c>
      <c r="M17" s="92" t="s">
        <v>165</v>
      </c>
      <c r="N17" s="196" t="str">
        <f>IF(Table1[[#This Row],[h_Item Description]]="","",INDEX([1]!db[NB PAJAK],MATCH(Table1[[#This Row],[h_Item Description]],[1]!db[kode],0)))</f>
        <v>CALCULATOR JOYKO CC-800CH</v>
      </c>
      <c r="O17" s="92" t="s">
        <v>168</v>
      </c>
      <c r="P17" s="93">
        <v>79000</v>
      </c>
      <c r="Q17" s="94">
        <v>0.125</v>
      </c>
      <c r="R17" s="94">
        <v>0.05</v>
      </c>
      <c r="S17" s="199">
        <f>Table1[[#This Row],[h_hargasetelahdiskon]]</f>
        <v>3940125</v>
      </c>
      <c r="V17" s="95">
        <f ca="1">IF(Table1[[#This Row],[Item Description]]="","",IF(Table1[[#This Row],[//]]="",INDIRECT(ADDRESS(ROW()-1,COLUMN())),Table1[[#This Row],[//]]))</f>
        <v>15</v>
      </c>
      <c r="W17" s="95">
        <f ca="1">IF(Table1[[#This Row],[h_id]]="","",COUNTIF(Table1[h_id],Table1[[#This Row],[h_id]]))</f>
        <v>3</v>
      </c>
      <c r="X17" s="93">
        <f>IF(Table1[Item Description]="","",Table1[[#This Row],[Qty]]*Table1[[#This Row],[Unit Price]])</f>
        <v>4740000</v>
      </c>
      <c r="Y17" s="93">
        <f>IF(Table1[[#This Row],[h_hargasebelumdiskon]]="","",IF(Table1[[#This Row],[Disc 1]]="",0,Table1[[#This Row],[h_hargasebelumdiskon]]*Table1[[#This Row],[Disc 1]]))</f>
        <v>592500</v>
      </c>
      <c r="Z17" s="93">
        <f>IF(Table1[[#This Row],[h_hargasebelumdiskon]]="","",IF(Table1[[#This Row],[Disc 2]]="",0,(Table1[[#This Row],[h_hargasebelumdiskon]]-Table1[[#This Row],[h_disc 1]])*Table1[[#This Row],[Disc 2]]))</f>
        <v>207375</v>
      </c>
      <c r="AA17" s="93">
        <f>IF(Table1[Item Description]="","",Table1[[#This Row],[h_disc 1]]+Table1[[#This Row],[h_disc 2]])</f>
        <v>799875</v>
      </c>
      <c r="AB17" s="93">
        <f>IF(Table1[Item Description]="","",Table1[[#This Row],[h_hargasebelumdiskon]]-Table1[[#This Row],[h_diskon]])</f>
        <v>3940125</v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>CALCULATOR JOYKO CC-800CHPCS79000</v>
      </c>
    </row>
    <row r="18" spans="1:31" x14ac:dyDescent="0.25">
      <c r="A18" s="95" t="str">
        <f>IF(Table1[[#This Row],[No. Invoice :]]="","",ROW())</f>
        <v/>
      </c>
      <c r="B18" s="196" t="str">
        <f>IF(Table1[h_Kode Sales :_1]="","",B$1+COUNT(B$2:B17))</f>
        <v/>
      </c>
      <c r="D18" s="197"/>
      <c r="E18" s="198"/>
      <c r="F18" s="197"/>
      <c r="G18" s="95" t="str">
        <f>IF(Table1[[#This Row],[h_No. Invoice :]]="","",CONCATENATE("AM"," ",Table1[[#This Row],[h_No. Invoice :]]))</f>
        <v/>
      </c>
      <c r="H18" s="96" t="str">
        <f>CONCATENATE(UPPER(Table1[[#This Row],[h_Kode Sales :_1]])," ",Table1[[#This Row],[h_Kode Sales :_2]])</f>
        <v xml:space="preserve"> </v>
      </c>
      <c r="I18" s="95" t="str">
        <f>IF(Table1[[#This Row],[h_toko]]="","",INDEX(Table2[e],IF(Table1[[#This Row],[h_toko]]="","",MATCH(Table1[[#This Row],[h_toko]],Table2[a],0)),))</f>
        <v/>
      </c>
      <c r="N18" s="196" t="str">
        <f>IF(Table1[[#This Row],[h_Item Description]]="","",INDEX([1]!db[NB PAJAK],MATCH(Table1[[#This Row],[h_Item Description]],[1]!db[kode],0)))</f>
        <v/>
      </c>
      <c r="P18" s="93"/>
      <c r="Q18" s="94"/>
      <c r="S18" s="199" t="str">
        <f>Table1[[#This Row],[h_hargasetelahdiskon]]</f>
        <v/>
      </c>
      <c r="V18" s="95" t="str">
        <f ca="1">IF(Table1[[#This Row],[Item Description]]="","",IF(Table1[[#This Row],[//]]="",INDIRECT(ADDRESS(ROW()-1,COLUMN())),Table1[[#This Row],[//]]))</f>
        <v/>
      </c>
      <c r="W18" s="95" t="str">
        <f ca="1">IF(Table1[[#This Row],[h_id]]="","",COUNTIF(Table1[h_id],Table1[[#This Row],[h_id]]))</f>
        <v/>
      </c>
      <c r="X18" s="93" t="str">
        <f>IF(Table1[Item Description]="","",Table1[[#This Row],[Qty]]*Table1[[#This Row],[Unit Price]])</f>
        <v/>
      </c>
      <c r="Y18" s="93" t="str">
        <f>IF(Table1[[#This Row],[h_hargasebelumdiskon]]="","",IF(Table1[[#This Row],[Disc 1]]="",0,Table1[[#This Row],[h_hargasebelumdiskon]]*Table1[[#This Row],[Disc 1]]))</f>
        <v/>
      </c>
      <c r="Z18" s="93" t="str">
        <f>IF(Table1[[#This Row],[h_hargasebelumdiskon]]="","",IF(Table1[[#This Row],[Disc 2]]="",0,(Table1[[#This Row],[h_hargasebelumdiskon]]-Table1[[#This Row],[h_disc 1]])*Table1[[#This Row],[Disc 2]]))</f>
        <v/>
      </c>
      <c r="AA18" s="93" t="str">
        <f>IF(Table1[Item Description]="","",Table1[[#This Row],[h_disc 1]]+Table1[[#This Row],[h_disc 2]])</f>
        <v/>
      </c>
      <c r="AB18" s="93" t="str">
        <f>IF(Table1[Item Description]="","",Table1[[#This Row],[h_hargasebelumdiskon]]-Table1[[#This Row],[h_diskon]])</f>
        <v/>
      </c>
      <c r="AC18" s="93" t="str">
        <f>IF(Table1[//]="","",SUMIF(Table1[h_id],Table1[h_id],Table1[h_hargasetelahdiskon]))</f>
        <v/>
      </c>
      <c r="AD18" s="93"/>
      <c r="AE18" s="93" t="str">
        <f>Table1[[#This Row],[Item Description]]&amp;Table1[[#This Row],[Unit]]&amp;Table1[[#This Row],[Unit Price]]</f>
        <v/>
      </c>
    </row>
    <row r="19" spans="1:31" x14ac:dyDescent="0.25">
      <c r="A19" s="95">
        <f>IF(Table1[[#This Row],[No. Invoice :]]="","",ROW())</f>
        <v>19</v>
      </c>
      <c r="B19" s="196">
        <f>IF(Table1[h_Kode Sales :_1]="","",B$1+COUNT(B$2:B18))</f>
        <v>23040005</v>
      </c>
      <c r="C19" s="98">
        <v>45027</v>
      </c>
      <c r="D19" s="92" t="s">
        <v>173</v>
      </c>
      <c r="E19" s="198"/>
      <c r="F19" s="92" t="s">
        <v>88</v>
      </c>
      <c r="G19" s="95" t="str">
        <f>IF(Table1[[#This Row],[h_No. Invoice :]]="","",CONCATENATE("AM"," ",Table1[[#This Row],[h_No. Invoice :]]))</f>
        <v>AM 23040005</v>
      </c>
      <c r="H19" s="96" t="str">
        <f>CONCATENATE(UPPER(Table1[[#This Row],[h_Kode Sales :_1]])," ",Table1[[#This Row],[h_Kode Sales :_2]])</f>
        <v xml:space="preserve">KO 1467 </v>
      </c>
      <c r="I19" s="95" t="str">
        <f>IF(Table1[[#This Row],[h_toko]]="","",INDEX(Table2[e],IF(Table1[[#This Row],[h_toko]]="","",MATCH(Table1[[#This Row],[h_toko]],Table2[a],0)),))</f>
        <v>CV PELITA JAYA (ANUGERAH SEJAHTERA) PURWOKERTO</v>
      </c>
      <c r="J19" s="92">
        <v>40</v>
      </c>
      <c r="K19" s="92" t="s">
        <v>174</v>
      </c>
      <c r="L19" s="92">
        <v>2</v>
      </c>
      <c r="M19" s="92" t="s">
        <v>175</v>
      </c>
      <c r="N19" s="196" t="str">
        <f>IF(Table1[[#This Row],[h_Item Description]]="","",INDEX([1]!db[NB PAJAK],MATCH(Table1[[#This Row],[h_Item Description]],[1]!db[kode],0)))</f>
        <v>PENSIL KENKO 2B-6191 HIJAU CAP HITAM</v>
      </c>
      <c r="O19" s="92" t="s">
        <v>176</v>
      </c>
      <c r="P19" s="93">
        <v>110400</v>
      </c>
      <c r="Q19" s="94">
        <v>0.13500000000000001</v>
      </c>
      <c r="S19" s="199">
        <f>Table1[[#This Row],[h_hargasetelahdiskon]]</f>
        <v>3819840</v>
      </c>
      <c r="T19" s="93" t="s">
        <v>133</v>
      </c>
      <c r="V19" s="95">
        <f ca="1">IF(Table1[[#This Row],[Item Description]]="","",IF(Table1[[#This Row],[//]]="",INDIRECT(ADDRESS(ROW()-1,COLUMN())),Table1[[#This Row],[//]]))</f>
        <v>19</v>
      </c>
      <c r="W19" s="95">
        <f ca="1">IF(Table1[[#This Row],[h_id]]="","",COUNTIF(Table1[h_id],Table1[[#This Row],[h_id]]))</f>
        <v>1</v>
      </c>
      <c r="X19" s="93">
        <f>IF(Table1[Item Description]="","",Table1[[#This Row],[Qty]]*Table1[[#This Row],[Unit Price]])</f>
        <v>4416000</v>
      </c>
      <c r="Y19" s="93">
        <f>IF(Table1[[#This Row],[h_hargasebelumdiskon]]="","",IF(Table1[[#This Row],[Disc 1]]="",0,Table1[[#This Row],[h_hargasebelumdiskon]]*Table1[[#This Row],[Disc 1]]))</f>
        <v>596160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596160</v>
      </c>
      <c r="AB19" s="93">
        <f>IF(Table1[Item Description]="","",Table1[[#This Row],[h_hargasebelumdiskon]]-Table1[[#This Row],[h_diskon]])</f>
        <v>3819840</v>
      </c>
      <c r="AC19" s="93">
        <f ca="1">IF(Table1[//]="","",SUMIF(Table1[h_id],Table1[h_id],Table1[h_hargasetelahdiskon]))</f>
        <v>3819840</v>
      </c>
      <c r="AD19" s="93"/>
      <c r="AE19" s="93" t="str">
        <f>Table1[[#This Row],[Item Description]]&amp;Table1[[#This Row],[Unit]]&amp;Table1[[#This Row],[Unit Price]]</f>
        <v>PENSIL KENKO 2B-6191 HIJAU CAP HITAMGRS110400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N20" s="196" t="str">
        <f>IF(Table1[[#This Row],[h_Item Description]]="","",INDEX([1]!db[NB PAJAK],MATCH(Table1[[#This Row],[h_Item Description]],[1]!db[kode],0)))</f>
        <v/>
      </c>
      <c r="P20" s="93"/>
      <c r="Q20" s="94"/>
      <c r="S20" s="199" t="str">
        <f>Table1[[#This Row],[h_hargasetelahdiskon]]</f>
        <v/>
      </c>
      <c r="V20" s="95" t="str">
        <f ca="1">IF(Table1[[#This Row],[Item Description]]="","",IF(Table1[[#This Row],[//]]="",INDIRECT(ADDRESS(ROW()-1,COLUMN())),Table1[[#This Row],[//]]))</f>
        <v/>
      </c>
      <c r="W20" s="95" t="str">
        <f ca="1">IF(Table1[[#This Row],[h_id]]="","",COUNTIF(Table1[h_id],Table1[[#This Row],[h_id]]))</f>
        <v/>
      </c>
      <c r="X20" s="93" t="str">
        <f>IF(Table1[Item Description]="","",Table1[[#This Row],[Qty]]*Table1[[#This Row],[Unit Price]])</f>
        <v/>
      </c>
      <c r="Y20" s="93" t="str">
        <f>IF(Table1[[#This Row],[h_hargasebelumdiskon]]="","",IF(Table1[[#This Row],[Disc 1]]="",0,Table1[[#This Row],[h_hargasebelumdiskon]]*Table1[[#This Row],[Disc 1]]))</f>
        <v/>
      </c>
      <c r="Z20" s="93" t="str">
        <f>IF(Table1[[#This Row],[h_hargasebelumdiskon]]="","",IF(Table1[[#This Row],[Disc 2]]="",0,(Table1[[#This Row],[h_hargasebelumdiskon]]-Table1[[#This Row],[h_disc 1]])*Table1[[#This Row],[Disc 2]]))</f>
        <v/>
      </c>
      <c r="AA20" s="93" t="str">
        <f>IF(Table1[Item Description]="","",Table1[[#This Row],[h_disc 1]]+Table1[[#This Row],[h_disc 2]])</f>
        <v/>
      </c>
      <c r="AB20" s="93" t="str">
        <f>IF(Table1[Item Description]="","",Table1[[#This Row],[h_hargasebelumdiskon]]-Table1[[#This Row],[h_diskon]])</f>
        <v/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/>
      </c>
    </row>
    <row r="21" spans="1:31" x14ac:dyDescent="0.25">
      <c r="A21" s="95">
        <f>IF(Table1[[#This Row],[No. Invoice :]]="","",ROW())</f>
        <v>21</v>
      </c>
      <c r="B21" s="196">
        <f>IF(Table1[h_Kode Sales :_1]="","",B$1+COUNT(B$2:B20))</f>
        <v>23040006</v>
      </c>
      <c r="C21" s="98">
        <v>45028</v>
      </c>
      <c r="D21" s="92" t="s">
        <v>136</v>
      </c>
      <c r="E21" s="97" t="s">
        <v>178</v>
      </c>
      <c r="F21" s="92" t="s">
        <v>97</v>
      </c>
      <c r="G21" s="95" t="str">
        <f>IF(Table1[[#This Row],[h_No. Invoice :]]="","",CONCATENATE("AM"," ",Table1[[#This Row],[h_No. Invoice :]]))</f>
        <v>AM 23040006</v>
      </c>
      <c r="H21" s="96" t="str">
        <f>CONCATENATE(UPPER(Table1[[#This Row],[h_Kode Sales :_1]])," ",Table1[[#This Row],[h_Kode Sales :_2]])</f>
        <v>G 1474</v>
      </c>
      <c r="I21" s="95" t="str">
        <f>IF(Table1[[#This Row],[h_toko]]="","",INDEX(Table2[e],IF(Table1[[#This Row],[h_toko]]="","",MATCH(Table1[[#This Row],[h_toko]],Table2[a],0)),))</f>
        <v>LILY JULIAWATI (REJO AGUNG) JOMBANG</v>
      </c>
      <c r="J21" s="92">
        <v>1440</v>
      </c>
      <c r="K21" s="92" t="s">
        <v>143</v>
      </c>
      <c r="L21" s="92">
        <v>10</v>
      </c>
      <c r="M21" s="92" t="s">
        <v>179</v>
      </c>
      <c r="N21" s="196" t="str">
        <f>IF(Table1[[#This Row],[h_Item Description]]="","",INDEX([1]!db[NB PAJAK],MATCH(Table1[[#This Row],[h_Item Description]],[1]!db[kode],0)))</f>
        <v>CRAYON / OIL PASTEL JOYKO OP-12S PP CASE SEA WORLD</v>
      </c>
      <c r="O21" s="92" t="s">
        <v>180</v>
      </c>
      <c r="P21" s="93">
        <v>11900</v>
      </c>
      <c r="Q21" s="94">
        <v>0.125</v>
      </c>
      <c r="R21" s="94">
        <v>0.03</v>
      </c>
      <c r="S21" s="199">
        <f>Table1[[#This Row],[h_hargasetelahdiskon]]</f>
        <v>14544180</v>
      </c>
      <c r="T21" s="93" t="s">
        <v>133</v>
      </c>
      <c r="V21" s="95">
        <f ca="1">IF(Table1[[#This Row],[Item Description]]="","",IF(Table1[[#This Row],[//]]="",INDIRECT(ADDRESS(ROW()-1,COLUMN())),Table1[[#This Row],[//]]))</f>
        <v>21</v>
      </c>
      <c r="W21" s="95">
        <f ca="1">IF(Table1[[#This Row],[h_id]]="","",COUNTIF(Table1[h_id],Table1[[#This Row],[h_id]]))</f>
        <v>1</v>
      </c>
      <c r="X21" s="93">
        <f>IF(Table1[Item Description]="","",Table1[[#This Row],[Qty]]*Table1[[#This Row],[Unit Price]])</f>
        <v>17136000</v>
      </c>
      <c r="Y21" s="93">
        <f>IF(Table1[[#This Row],[h_hargasebelumdiskon]]="","",IF(Table1[[#This Row],[Disc 1]]="",0,Table1[[#This Row],[h_hargasebelumdiskon]]*Table1[[#This Row],[Disc 1]]))</f>
        <v>2142000</v>
      </c>
      <c r="Z21" s="93">
        <f>IF(Table1[[#This Row],[h_hargasebelumdiskon]]="","",IF(Table1[[#This Row],[Disc 2]]="",0,(Table1[[#This Row],[h_hargasebelumdiskon]]-Table1[[#This Row],[h_disc 1]])*Table1[[#This Row],[Disc 2]]))</f>
        <v>449820</v>
      </c>
      <c r="AA21" s="93">
        <f>IF(Table1[Item Description]="","",Table1[[#This Row],[h_disc 1]]+Table1[[#This Row],[h_disc 2]])</f>
        <v>2591820</v>
      </c>
      <c r="AB21" s="93">
        <f>IF(Table1[Item Description]="","",Table1[[#This Row],[h_hargasebelumdiskon]]-Table1[[#This Row],[h_diskon]])</f>
        <v>14544180</v>
      </c>
      <c r="AC21" s="93">
        <f ca="1">IF(Table1[//]="","",SUMIF(Table1[h_id],Table1[h_id],Table1[h_hargasetelahdiskon]))</f>
        <v>14544180</v>
      </c>
      <c r="AD21" s="93"/>
      <c r="AE21" s="93" t="str">
        <f>Table1[[#This Row],[Item Description]]&amp;Table1[[#This Row],[Unit]]&amp;Table1[[#This Row],[Unit Price]]</f>
        <v>CRAYON / OIL PASTEL JOYKO OP-12S PP CASE SEA WORLDPCS11900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23040007</v>
      </c>
      <c r="C23" s="98">
        <v>45028</v>
      </c>
      <c r="D23" s="92" t="s">
        <v>182</v>
      </c>
      <c r="E23" s="97" t="s">
        <v>183</v>
      </c>
      <c r="F23" s="92" t="s">
        <v>184</v>
      </c>
      <c r="G23" s="95" t="str">
        <f>IF(Table1[[#This Row],[h_No. Invoice :]]="","",CONCATENATE("AM"," ",Table1[[#This Row],[h_No. Invoice :]]))</f>
        <v>AM 23040007</v>
      </c>
      <c r="H23" s="96" t="str">
        <f>CONCATENATE(UPPER(Table1[[#This Row],[h_Kode Sales :_1]])," ",Table1[[#This Row],[h_Kode Sales :_2]])</f>
        <v>KO 1027</v>
      </c>
      <c r="I23" s="95" t="str">
        <f>IF(Table1[[#This Row],[h_toko]]="","",INDEX(Table2[e],IF(Table1[[#This Row],[h_toko]]="","",MATCH(Table1[[#This Row],[h_toko]],Table2[a],0)),))</f>
        <v>SOEYANTO LOPULUSI ( LANCAR ) MALANG</v>
      </c>
      <c r="J23" s="92">
        <v>60</v>
      </c>
      <c r="K23" s="92" t="s">
        <v>131</v>
      </c>
      <c r="L23" s="92">
        <v>1</v>
      </c>
      <c r="M23" s="92" t="s">
        <v>185</v>
      </c>
      <c r="N23" s="196" t="str">
        <f>IF(Table1[[#This Row],[h_Item Description]]="","",INDEX([1]!db[NB PAJAK],MATCH(Table1[[#This Row],[h_Item Description]],[1]!db[kode],0)))</f>
        <v>CORRECTION TAPE JOYKO CT-507</v>
      </c>
      <c r="O23" s="92" t="s">
        <v>192</v>
      </c>
      <c r="P23" s="93">
        <v>55200</v>
      </c>
      <c r="Q23" s="94">
        <v>0.125</v>
      </c>
      <c r="S23" s="199">
        <f>Table1[[#This Row],[h_hargasetelahdiskon]]</f>
        <v>2898000</v>
      </c>
      <c r="T23" s="93" t="s">
        <v>133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7</v>
      </c>
      <c r="X23" s="93">
        <f>IF(Table1[Item Description]="","",Table1[[#This Row],[Qty]]*Table1[[#This Row],[Unit Price]])</f>
        <v>3312000</v>
      </c>
      <c r="Y23" s="93">
        <f>IF(Table1[[#This Row],[h_hargasebelumdiskon]]="","",IF(Table1[[#This Row],[Disc 1]]="",0,Table1[[#This Row],[h_hargasebelumdiskon]]*Table1[[#This Row],[Disc 1]]))</f>
        <v>414000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414000</v>
      </c>
      <c r="AB23" s="93">
        <f>IF(Table1[Item Description]="","",Table1[[#This Row],[h_hargasebelumdiskon]]-Table1[[#This Row],[h_diskon]])</f>
        <v>2898000</v>
      </c>
      <c r="AC23" s="93">
        <f ca="1">IF(Table1[//]="","",SUMIF(Table1[h_id],Table1[h_id],Table1[h_hargasetelahdiskon]))</f>
        <v>19674550</v>
      </c>
      <c r="AD23" s="93"/>
      <c r="AE23" s="93" t="str">
        <f>Table1[[#This Row],[Item Description]]&amp;Table1[[#This Row],[Unit]]&amp;Table1[[#This Row],[Unit Price]]</f>
        <v>CORRECTION TAPE JOYKO CT-507LSN55200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60</v>
      </c>
      <c r="K24" s="92" t="s">
        <v>131</v>
      </c>
      <c r="L24" s="92">
        <v>1</v>
      </c>
      <c r="M24" s="92" t="s">
        <v>191</v>
      </c>
      <c r="N24" s="196" t="str">
        <f>IF(Table1[[#This Row],[h_Item Description]]="","",INDEX([1]!db[NB PAJAK],MATCH(Table1[[#This Row],[h_Item Description]],[1]!db[kode],0)))</f>
        <v>CORRECTION TAPE JOYKO CT-508</v>
      </c>
      <c r="O24" s="92" t="s">
        <v>193</v>
      </c>
      <c r="P24" s="93">
        <v>54000</v>
      </c>
      <c r="Q24" s="94">
        <v>0.125</v>
      </c>
      <c r="S24" s="199">
        <f>Table1[[#This Row],[h_hargasetelahdiskon]]</f>
        <v>2835000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7</v>
      </c>
      <c r="X24" s="93">
        <f>IF(Table1[Item Description]="","",Table1[[#This Row],[Qty]]*Table1[[#This Row],[Unit Price]])</f>
        <v>3240000</v>
      </c>
      <c r="Y24" s="93">
        <f>IF(Table1[[#This Row],[h_hargasebelumdiskon]]="","",IF(Table1[[#This Row],[Disc 1]]="",0,Table1[[#This Row],[h_hargasebelumdiskon]]*Table1[[#This Row],[Disc 1]]))</f>
        <v>405000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405000</v>
      </c>
      <c r="AB24" s="93">
        <f>IF(Table1[Item Description]="","",Table1[[#This Row],[h_hargasebelumdiskon]]-Table1[[#This Row],[h_diskon]])</f>
        <v>2835000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CORRECTION TAPE JOYKO CT-508LSN54000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D25" s="197"/>
      <c r="E25" s="198"/>
      <c r="F25" s="197"/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72</v>
      </c>
      <c r="K25" s="92" t="s">
        <v>143</v>
      </c>
      <c r="L25" s="92">
        <v>1</v>
      </c>
      <c r="M25" s="92" t="s">
        <v>186</v>
      </c>
      <c r="N25" s="196" t="str">
        <f>IF(Table1[[#This Row],[h_Item Description]]="","",INDEX([1]!db[NB PAJAK],MATCH(Table1[[#This Row],[h_Item Description]],[1]!db[kode],0)))</f>
        <v>PENSIL WARNA JOYKO CP-24PB (PANJANG)</v>
      </c>
      <c r="O25" s="92" t="s">
        <v>194</v>
      </c>
      <c r="P25" s="93">
        <v>21200</v>
      </c>
      <c r="Q25" s="94">
        <v>0.125</v>
      </c>
      <c r="S25" s="199">
        <f>Table1[[#This Row],[h_hargasetelahdiskon]]</f>
        <v>1335600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7</v>
      </c>
      <c r="X25" s="93">
        <f>IF(Table1[Item Description]="","",Table1[[#This Row],[Qty]]*Table1[[#This Row],[Unit Price]])</f>
        <v>1526400</v>
      </c>
      <c r="Y25" s="93">
        <f>IF(Table1[[#This Row],[h_hargasebelumdiskon]]="","",IF(Table1[[#This Row],[Disc 1]]="",0,Table1[[#This Row],[h_hargasebelumdiskon]]*Table1[[#This Row],[Disc 1]]))</f>
        <v>190800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190800</v>
      </c>
      <c r="AB25" s="93">
        <f>IF(Table1[Item Description]="","",Table1[[#This Row],[h_hargasebelumdiskon]]-Table1[[#This Row],[h_diskon]])</f>
        <v>1335600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PENSIL WARNA JOYKO CP-24PB (PANJANG)PCS21200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D26" s="197"/>
      <c r="E26" s="198"/>
      <c r="F26" s="197"/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J26" s="92">
        <v>288</v>
      </c>
      <c r="K26" s="92" t="s">
        <v>143</v>
      </c>
      <c r="L26" s="92">
        <v>1</v>
      </c>
      <c r="M26" s="92" t="s">
        <v>187</v>
      </c>
      <c r="N26" s="196" t="str">
        <f>IF(Table1[[#This Row],[h_Item Description]]="","",INDEX([1]!db[NB PAJAK],MATCH(Table1[[#This Row],[h_Item Description]],[1]!db[kode],0)))</f>
        <v>PENSIL WARNA JOYKO CP-S12 MINI (PENDEK)</v>
      </c>
      <c r="O26" s="92" t="s">
        <v>195</v>
      </c>
      <c r="P26" s="93">
        <v>6700</v>
      </c>
      <c r="Q26" s="94">
        <v>0.125</v>
      </c>
      <c r="S26" s="199">
        <f>Table1[[#This Row],[h_hargasetelahdiskon]]</f>
        <v>1688400</v>
      </c>
      <c r="V26" s="95">
        <f ca="1">IF(Table1[[#This Row],[Item Description]]="","",IF(Table1[[#This Row],[//]]="",INDIRECT(ADDRESS(ROW()-1,COLUMN())),Table1[[#This Row],[//]]))</f>
        <v>23</v>
      </c>
      <c r="W26" s="95">
        <f ca="1">IF(Table1[[#This Row],[h_id]]="","",COUNTIF(Table1[h_id],Table1[[#This Row],[h_id]]))</f>
        <v>7</v>
      </c>
      <c r="X26" s="93">
        <f>IF(Table1[Item Description]="","",Table1[[#This Row],[Qty]]*Table1[[#This Row],[Unit Price]])</f>
        <v>1929600</v>
      </c>
      <c r="Y26" s="93">
        <f>IF(Table1[[#This Row],[h_hargasebelumdiskon]]="","",IF(Table1[[#This Row],[Disc 1]]="",0,Table1[[#This Row],[h_hargasebelumdiskon]]*Table1[[#This Row],[Disc 1]]))</f>
        <v>241200</v>
      </c>
      <c r="Z26" s="93">
        <f>IF(Table1[[#This Row],[h_hargasebelumdiskon]]="","",IF(Table1[[#This Row],[Disc 2]]="",0,(Table1[[#This Row],[h_hargasebelumdiskon]]-Table1[[#This Row],[h_disc 1]])*Table1[[#This Row],[Disc 2]]))</f>
        <v>0</v>
      </c>
      <c r="AA26" s="93">
        <f>IF(Table1[Item Description]="","",Table1[[#This Row],[h_disc 1]]+Table1[[#This Row],[h_disc 2]])</f>
        <v>241200</v>
      </c>
      <c r="AB26" s="93">
        <f>IF(Table1[Item Description]="","",Table1[[#This Row],[h_hargasebelumdiskon]]-Table1[[#This Row],[h_diskon]])</f>
        <v>1688400</v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>PENSIL WARNA JOYKO CP-S12 MINI (PENDEK)PCS6700</v>
      </c>
    </row>
    <row r="27" spans="1:31" x14ac:dyDescent="0.25">
      <c r="A27" s="95" t="str">
        <f>IF(Table1[[#This Row],[No. Invoice :]]="","",ROW())</f>
        <v/>
      </c>
      <c r="B27" s="196" t="str">
        <f>IF(Table1[h_Kode Sales :_1]="","",B$1+COUNT(B$2:B26))</f>
        <v/>
      </c>
      <c r="G27" s="95" t="str">
        <f>IF(Table1[[#This Row],[h_No. Invoice :]]="","",CONCATENATE("AM"," ",Table1[[#This Row],[h_No. Invoice :]]))</f>
        <v/>
      </c>
      <c r="H27" s="96" t="str">
        <f>CONCATENATE(UPPER(Table1[[#This Row],[h_Kode Sales :_1]])," ",Table1[[#This Row],[h_Kode Sales :_2]])</f>
        <v xml:space="preserve"> </v>
      </c>
      <c r="I27" s="95" t="str">
        <f>IF(Table1[[#This Row],[h_toko]]="","",INDEX(Table2[e],IF(Table1[[#This Row],[h_toko]]="","",MATCH(Table1[[#This Row],[h_toko]],Table2[a],0)),))</f>
        <v/>
      </c>
      <c r="J27" s="92">
        <v>432</v>
      </c>
      <c r="K27" s="92" t="s">
        <v>143</v>
      </c>
      <c r="L27" s="92">
        <v>3</v>
      </c>
      <c r="M27" s="92" t="s">
        <v>188</v>
      </c>
      <c r="N27" s="196" t="str">
        <f>IF(Table1[[#This Row],[h_Item Description]]="","",INDEX([1]!db[NB PAJAK],MATCH(Table1[[#This Row],[h_Item Description]],[1]!db[kode],0)))</f>
        <v>PENSIL WARNA JOYKO CP-12PB (PANJANG)</v>
      </c>
      <c r="O27" s="92" t="s">
        <v>196</v>
      </c>
      <c r="P27" s="93">
        <v>10600</v>
      </c>
      <c r="Q27" s="94">
        <v>0.125</v>
      </c>
      <c r="S27" s="199">
        <f>Table1[[#This Row],[h_hargasetelahdiskon]]</f>
        <v>4006800</v>
      </c>
      <c r="V27" s="95">
        <f ca="1">IF(Table1[[#This Row],[Item Description]]="","",IF(Table1[[#This Row],[//]]="",INDIRECT(ADDRESS(ROW()-1,COLUMN())),Table1[[#This Row],[//]]))</f>
        <v>23</v>
      </c>
      <c r="W27" s="95">
        <f ca="1">IF(Table1[[#This Row],[h_id]]="","",COUNTIF(Table1[h_id],Table1[[#This Row],[h_id]]))</f>
        <v>7</v>
      </c>
      <c r="X27" s="93">
        <f>IF(Table1[Item Description]="","",Table1[[#This Row],[Qty]]*Table1[[#This Row],[Unit Price]])</f>
        <v>4579200</v>
      </c>
      <c r="Y27" s="93">
        <f>IF(Table1[[#This Row],[h_hargasebelumdiskon]]="","",IF(Table1[[#This Row],[Disc 1]]="",0,Table1[[#This Row],[h_hargasebelumdiskon]]*Table1[[#This Row],[Disc 1]]))</f>
        <v>572400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572400</v>
      </c>
      <c r="AB27" s="93">
        <f>IF(Table1[Item Description]="","",Table1[[#This Row],[h_hargasebelumdiskon]]-Table1[[#This Row],[h_diskon]])</f>
        <v>4006800</v>
      </c>
      <c r="AC27" s="93" t="str">
        <f>IF(Table1[//]="","",SUMIF(Table1[h_id],Table1[h_id],Table1[h_hargasetelahdiskon]))</f>
        <v/>
      </c>
      <c r="AD27" s="93"/>
      <c r="AE27" s="93" t="str">
        <f>Table1[[#This Row],[Item Description]]&amp;Table1[[#This Row],[Unit]]&amp;Table1[[#This Row],[Unit Price]]</f>
        <v>PENSIL WARNA JOYKO CP-12PB (PANJANG)PCS10600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D28" s="197"/>
      <c r="E28" s="198"/>
      <c r="F28" s="197"/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240</v>
      </c>
      <c r="K28" s="92" t="s">
        <v>143</v>
      </c>
      <c r="L28" s="92">
        <v>2</v>
      </c>
      <c r="M28" s="92" t="s">
        <v>189</v>
      </c>
      <c r="N28" s="196" t="str">
        <f>IF(Table1[[#This Row],[h_Item Description]]="","",INDEX([1]!db[NB PAJAK],MATCH(Table1[[#This Row],[h_Item Description]],[1]!db[kode],0)))</f>
        <v>STAPLER JOYKO HD-50</v>
      </c>
      <c r="O28" s="92" t="s">
        <v>197</v>
      </c>
      <c r="P28" s="93">
        <v>18700</v>
      </c>
      <c r="Q28" s="94">
        <v>0.125</v>
      </c>
      <c r="S28" s="199">
        <f>Table1[[#This Row],[h_hargasetelahdiskon]]</f>
        <v>3927000</v>
      </c>
      <c r="V28" s="95">
        <f ca="1">IF(Table1[[#This Row],[Item Description]]="","",IF(Table1[[#This Row],[//]]="",INDIRECT(ADDRESS(ROW()-1,COLUMN())),Table1[[#This Row],[//]]))</f>
        <v>23</v>
      </c>
      <c r="W28" s="95">
        <f ca="1">IF(Table1[[#This Row],[h_id]]="","",COUNTIF(Table1[h_id],Table1[[#This Row],[h_id]]))</f>
        <v>7</v>
      </c>
      <c r="X28" s="93">
        <f>IF(Table1[Item Description]="","",Table1[[#This Row],[Qty]]*Table1[[#This Row],[Unit Price]])</f>
        <v>4488000</v>
      </c>
      <c r="Y28" s="93">
        <f>IF(Table1[[#This Row],[h_hargasebelumdiskon]]="","",IF(Table1[[#This Row],[Disc 1]]="",0,Table1[[#This Row],[h_hargasebelumdiskon]]*Table1[[#This Row],[Disc 1]]))</f>
        <v>561000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561000</v>
      </c>
      <c r="AB28" s="93">
        <f>IF(Table1[Item Description]="","",Table1[[#This Row],[h_hargasebelumdiskon]]-Table1[[#This Row],[h_diskon]])</f>
        <v>3927000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STAPLER JOYKO HD-50PCS18700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100</v>
      </c>
      <c r="K29" s="92" t="s">
        <v>139</v>
      </c>
      <c r="L29" s="92">
        <v>2</v>
      </c>
      <c r="M29" s="92" t="s">
        <v>231</v>
      </c>
      <c r="N29" s="196" t="e">
        <f>IF(Table1[[#This Row],[h_Item Description]]="","",INDEX([1]!db[NB PAJAK],MATCH(Table1[[#This Row],[h_Item Description]],[1]!db[kode],0)))</f>
        <v>#N/A</v>
      </c>
      <c r="O29" s="92" t="s">
        <v>198</v>
      </c>
      <c r="P29" s="93">
        <v>34100</v>
      </c>
      <c r="Q29" s="94">
        <v>0.125</v>
      </c>
      <c r="S29" s="199">
        <f>Table1[[#This Row],[h_hargasetelahdiskon]]</f>
        <v>2983750</v>
      </c>
      <c r="V29" s="95">
        <f ca="1">IF(Table1[[#This Row],[Item Description]]="","",IF(Table1[[#This Row],[//]]="",INDIRECT(ADDRESS(ROW()-1,COLUMN())),Table1[[#This Row],[//]]))</f>
        <v>23</v>
      </c>
      <c r="W29" s="95">
        <f ca="1">IF(Table1[[#This Row],[h_id]]="","",COUNTIF(Table1[h_id],Table1[[#This Row],[h_id]]))</f>
        <v>7</v>
      </c>
      <c r="X29" s="93">
        <f>IF(Table1[Item Description]="","",Table1[[#This Row],[Qty]]*Table1[[#This Row],[Unit Price]])</f>
        <v>3410000</v>
      </c>
      <c r="Y29" s="93">
        <f>IF(Table1[[#This Row],[h_hargasebelumdiskon]]="","",IF(Table1[[#This Row],[Disc 1]]="",0,Table1[[#This Row],[h_hargasebelumdiskon]]*Table1[[#This Row],[Disc 1]]))</f>
        <v>426250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426250</v>
      </c>
      <c r="AB29" s="93">
        <f>IF(Table1[Item Description]="","",Table1[[#This Row],[h_hargasebelumdiskon]]-Table1[[#This Row],[h_diskon]])</f>
        <v>2983750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STIP / PENGHAPUS JOYKO 526-B20 PUTIHBOX34100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N30" s="196" t="str">
        <f>IF(Table1[[#This Row],[h_Item Description]]="","",INDEX([1]!db[NB PAJAK],MATCH(Table1[[#This Row],[h_Item Description]],[1]!db[kode],0)))</f>
        <v/>
      </c>
      <c r="P30" s="93"/>
      <c r="Q30" s="94"/>
      <c r="S30" s="199" t="str">
        <f>Table1[[#This Row],[h_hargasetelahdiskon]]</f>
        <v/>
      </c>
      <c r="V30" s="95" t="str">
        <f ca="1">IF(Table1[[#This Row],[Item Description]]="","",IF(Table1[[#This Row],[//]]="",INDIRECT(ADDRESS(ROW()-1,COLUMN())),Table1[[#This Row],[//]]))</f>
        <v/>
      </c>
      <c r="W30" s="95" t="str">
        <f ca="1">IF(Table1[[#This Row],[h_id]]="","",COUNTIF(Table1[h_id],Table1[[#This Row],[h_id]]))</f>
        <v/>
      </c>
      <c r="X30" s="93" t="str">
        <f>IF(Table1[Item Description]="","",Table1[[#This Row],[Qty]]*Table1[[#This Row],[Unit Price]])</f>
        <v/>
      </c>
      <c r="Y30" s="93" t="str">
        <f>IF(Table1[[#This Row],[h_hargasebelumdiskon]]="","",IF(Table1[[#This Row],[Disc 1]]="",0,Table1[[#This Row],[h_hargasebelumdiskon]]*Table1[[#This Row],[Disc 1]]))</f>
        <v/>
      </c>
      <c r="Z30" s="93" t="str">
        <f>IF(Table1[[#This Row],[h_hargasebelumdiskon]]="","",IF(Table1[[#This Row],[Disc 2]]="",0,(Table1[[#This Row],[h_hargasebelumdiskon]]-Table1[[#This Row],[h_disc 1]])*Table1[[#This Row],[Disc 2]]))</f>
        <v/>
      </c>
      <c r="AA30" s="93" t="str">
        <f>IF(Table1[Item Description]="","",Table1[[#This Row],[h_disc 1]]+Table1[[#This Row],[h_disc 2]])</f>
        <v/>
      </c>
      <c r="AB30" s="93" t="str">
        <f>IF(Table1[Item Description]="","",Table1[[#This Row],[h_hargasebelumdiskon]]-Table1[[#This Row],[h_diskon]])</f>
        <v/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/>
      </c>
    </row>
    <row r="31" spans="1:31" x14ac:dyDescent="0.25">
      <c r="A31" s="95">
        <f>IF(Table1[[#This Row],[No. Invoice :]]="","",ROW())</f>
        <v>31</v>
      </c>
      <c r="B31" s="196">
        <f>IF(Table1[h_Kode Sales :_1]="","",B$1+COUNT(B$2:B30))</f>
        <v>23040008</v>
      </c>
      <c r="C31" s="98">
        <v>45028</v>
      </c>
      <c r="D31" s="92" t="s">
        <v>129</v>
      </c>
      <c r="E31" s="97" t="s">
        <v>206</v>
      </c>
      <c r="F31" s="92" t="s">
        <v>88</v>
      </c>
      <c r="G31" s="95" t="str">
        <f>IF(Table1[[#This Row],[h_No. Invoice :]]="","",CONCATENATE("AM"," ",Table1[[#This Row],[h_No. Invoice :]]))</f>
        <v>AM 23040008</v>
      </c>
      <c r="H31" s="96" t="str">
        <f>CONCATENATE(UPPER(Table1[[#This Row],[h_Kode Sales :_1]])," ",Table1[[#This Row],[h_Kode Sales :_2]])</f>
        <v>KO 1482</v>
      </c>
      <c r="I31" s="95" t="str">
        <f>IF(Table1[[#This Row],[h_toko]]="","",INDEX(Table2[e],IF(Table1[[#This Row],[h_toko]]="","",MATCH(Table1[[#This Row],[h_toko]],Table2[a],0)),))</f>
        <v>CV PELITA JAYA (ANUGERAH SEJAHTERA) PURWOKERTO</v>
      </c>
      <c r="J31" s="92">
        <v>50</v>
      </c>
      <c r="K31" s="92" t="s">
        <v>139</v>
      </c>
      <c r="L31" s="92">
        <v>1</v>
      </c>
      <c r="M31" s="92" t="s">
        <v>190</v>
      </c>
      <c r="N31" s="196" t="str">
        <f>IF(Table1[[#This Row],[h_Item Description]]="","",INDEX([1]!db[NB PAJAK],MATCH(Table1[[#This Row],[h_Item Description]],[1]!db[kode],0)))</f>
        <v>STIP / PENGHAPUS JOYKO 526-B20 PUTIH</v>
      </c>
      <c r="O31" s="92" t="s">
        <v>198</v>
      </c>
      <c r="P31" s="93">
        <v>34100</v>
      </c>
      <c r="Q31" s="94">
        <v>0.13500000000000001</v>
      </c>
      <c r="S31" s="199">
        <f>Table1[[#This Row],[h_hargasetelahdiskon]]</f>
        <v>1474825</v>
      </c>
      <c r="T31" s="93" t="s">
        <v>133</v>
      </c>
      <c r="V31" s="95">
        <f ca="1">IF(Table1[[#This Row],[Item Description]]="","",IF(Table1[[#This Row],[//]]="",INDIRECT(ADDRESS(ROW()-1,COLUMN())),Table1[[#This Row],[//]]))</f>
        <v>31</v>
      </c>
      <c r="W31" s="95">
        <f ca="1">IF(Table1[[#This Row],[h_id]]="","",COUNTIF(Table1[h_id],Table1[[#This Row],[h_id]]))</f>
        <v>3</v>
      </c>
      <c r="X31" s="93">
        <f>IF(Table1[Item Description]="","",Table1[[#This Row],[Qty]]*Table1[[#This Row],[Unit Price]])</f>
        <v>1705000</v>
      </c>
      <c r="Y31" s="93">
        <f>IF(Table1[[#This Row],[h_hargasebelumdiskon]]="","",IF(Table1[[#This Row],[Disc 1]]="",0,Table1[[#This Row],[h_hargasebelumdiskon]]*Table1[[#This Row],[Disc 1]]))</f>
        <v>230175.00000000003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230175.00000000003</v>
      </c>
      <c r="AB31" s="93">
        <f>IF(Table1[Item Description]="","",Table1[[#This Row],[h_hargasebelumdiskon]]-Table1[[#This Row],[h_diskon]])</f>
        <v>1474825</v>
      </c>
      <c r="AC31" s="93">
        <f ca="1">IF(Table1[//]="","",SUMIF(Table1[h_id],Table1[h_id],Table1[h_hargasetelahdiskon]))</f>
        <v>4268256</v>
      </c>
      <c r="AD31" s="93"/>
      <c r="AE31" s="93" t="str">
        <f>Table1[[#This Row],[Item Description]]&amp;Table1[[#This Row],[Unit]]&amp;Table1[[#This Row],[Unit Price]]</f>
        <v>STIP / PENGHAPUS JOYKO 526-B20 PUTIHBOX34100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144</v>
      </c>
      <c r="K32" s="92" t="s">
        <v>131</v>
      </c>
      <c r="L32" s="92">
        <v>1</v>
      </c>
      <c r="M32" s="92" t="s">
        <v>138</v>
      </c>
      <c r="N32" s="196" t="str">
        <f>IF(Table1[[#This Row],[h_Item Description]]="","",INDEX([1]!db[NB PAJAK],MATCH(Table1[[#This Row],[h_Item Description]],[1]!db[kode],0)))</f>
        <v>BALLPEN JOYKO BP-338 VOCUS HITAM</v>
      </c>
      <c r="O32" s="92" t="s">
        <v>146</v>
      </c>
      <c r="P32" s="93">
        <v>12600</v>
      </c>
      <c r="Q32" s="94">
        <v>0.13500000000000001</v>
      </c>
      <c r="S32" s="199">
        <f>Table1[[#This Row],[h_hargasetelahdiskon]]</f>
        <v>1569456</v>
      </c>
      <c r="V32" s="95">
        <f ca="1">IF(Table1[[#This Row],[Item Description]]="","",IF(Table1[[#This Row],[//]]="",INDIRECT(ADDRESS(ROW()-1,COLUMN())),Table1[[#This Row],[//]]))</f>
        <v>31</v>
      </c>
      <c r="W32" s="95">
        <f ca="1">IF(Table1[[#This Row],[h_id]]="","",COUNTIF(Table1[h_id],Table1[[#This Row],[h_id]]))</f>
        <v>3</v>
      </c>
      <c r="X32" s="93">
        <f>IF(Table1[Item Description]="","",Table1[[#This Row],[Qty]]*Table1[[#This Row],[Unit Price]])</f>
        <v>1814400</v>
      </c>
      <c r="Y32" s="93">
        <f>IF(Table1[[#This Row],[h_hargasebelumdiskon]]="","",IF(Table1[[#This Row],[Disc 1]]="",0,Table1[[#This Row],[h_hargasebelumdiskon]]*Table1[[#This Row],[Disc 1]]))</f>
        <v>244944.00000000003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244944.00000000003</v>
      </c>
      <c r="AB32" s="93">
        <f>IF(Table1[Item Description]="","",Table1[[#This Row],[h_hargasebelumdiskon]]-Table1[[#This Row],[h_diskon]])</f>
        <v>1569456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BALLPEN JOYKO BP-338 VOCUS HITAMLSN12600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50</v>
      </c>
      <c r="K33" s="92" t="s">
        <v>139</v>
      </c>
      <c r="L33" s="92">
        <v>1</v>
      </c>
      <c r="M33" s="92" t="s">
        <v>158</v>
      </c>
      <c r="N33" s="196" t="str">
        <f>IF(Table1[[#This Row],[h_Item Description]]="","",INDEX([1]!db[NB PAJAK],MATCH(Table1[[#This Row],[h_Item Description]],[1]!db[kode],0)))</f>
        <v>STIP / PENGHAPUS JOYKO 526-B40P PUTIH</v>
      </c>
      <c r="O33" s="92" t="s">
        <v>160</v>
      </c>
      <c r="P33" s="93">
        <v>28300</v>
      </c>
      <c r="Q33" s="94">
        <v>0.13500000000000001</v>
      </c>
      <c r="S33" s="199">
        <f>Table1[[#This Row],[h_hargasetelahdiskon]]</f>
        <v>1223975</v>
      </c>
      <c r="V33" s="95">
        <f ca="1">IF(Table1[[#This Row],[Item Description]]="","",IF(Table1[[#This Row],[//]]="",INDIRECT(ADDRESS(ROW()-1,COLUMN())),Table1[[#This Row],[//]]))</f>
        <v>31</v>
      </c>
      <c r="W33" s="95">
        <f ca="1">IF(Table1[[#This Row],[h_id]]="","",COUNTIF(Table1[h_id],Table1[[#This Row],[h_id]]))</f>
        <v>3</v>
      </c>
      <c r="X33" s="93">
        <f>IF(Table1[Item Description]="","",Table1[[#This Row],[Qty]]*Table1[[#This Row],[Unit Price]])</f>
        <v>1415000</v>
      </c>
      <c r="Y33" s="93">
        <f>IF(Table1[[#This Row],[h_hargasebelumdiskon]]="","",IF(Table1[[#This Row],[Disc 1]]="",0,Table1[[#This Row],[h_hargasebelumdiskon]]*Table1[[#This Row],[Disc 1]]))</f>
        <v>191025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191025</v>
      </c>
      <c r="AB33" s="93">
        <f>IF(Table1[Item Description]="","",Table1[[#This Row],[h_hargasebelumdiskon]]-Table1[[#This Row],[h_diskon]])</f>
        <v>1223975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STIP / PENGHAPUS JOYKO 526-B40P PUTIHBOX28300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N34" s="196" t="str">
        <f>IF(Table1[[#This Row],[h_Item Description]]="","",INDEX([1]!db[NB PAJAK],MATCH(Table1[[#This Row],[h_Item Description]],[1]!db[kode],0)))</f>
        <v/>
      </c>
      <c r="P34" s="93"/>
      <c r="Q34" s="94"/>
      <c r="S34" s="199" t="str">
        <f>Table1[[#This Row],[h_hargasetelahdiskon]]</f>
        <v/>
      </c>
      <c r="V34" s="95" t="str">
        <f ca="1">IF(Table1[[#This Row],[Item Description]]="","",IF(Table1[[#This Row],[//]]="",INDIRECT(ADDRESS(ROW()-1,COLUMN())),Table1[[#This Row],[//]]))</f>
        <v/>
      </c>
      <c r="W34" s="95" t="str">
        <f ca="1">IF(Table1[[#This Row],[h_id]]="","",COUNTIF(Table1[h_id],Table1[[#This Row],[h_id]]))</f>
        <v/>
      </c>
      <c r="X34" s="93" t="str">
        <f>IF(Table1[Item Description]="","",Table1[[#This Row],[Qty]]*Table1[[#This Row],[Unit Price]])</f>
        <v/>
      </c>
      <c r="Y34" s="93" t="str">
        <f>IF(Table1[[#This Row],[h_hargasebelumdiskon]]="","",IF(Table1[[#This Row],[Disc 1]]="",0,Table1[[#This Row],[h_hargasebelumdiskon]]*Table1[[#This Row],[Disc 1]]))</f>
        <v/>
      </c>
      <c r="Z34" s="93" t="str">
        <f>IF(Table1[[#This Row],[h_hargasebelumdiskon]]="","",IF(Table1[[#This Row],[Disc 2]]="",0,(Table1[[#This Row],[h_hargasebelumdiskon]]-Table1[[#This Row],[h_disc 1]])*Table1[[#This Row],[Disc 2]]))</f>
        <v/>
      </c>
      <c r="AA34" s="93" t="str">
        <f>IF(Table1[Item Description]="","",Table1[[#This Row],[h_disc 1]]+Table1[[#This Row],[h_disc 2]])</f>
        <v/>
      </c>
      <c r="AB34" s="93" t="str">
        <f>IF(Table1[Item Description]="","",Table1[[#This Row],[h_hargasebelumdiskon]]-Table1[[#This Row],[h_diskon]])</f>
        <v/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/>
      </c>
    </row>
    <row r="35" spans="1:31" x14ac:dyDescent="0.25">
      <c r="A35" s="95">
        <f>IF(Table1[[#This Row],[No. Invoice :]]="","",ROW())</f>
        <v>35</v>
      </c>
      <c r="B35" s="196">
        <f>IF(Table1[h_Kode Sales :_1]="","",B$1+COUNT(B$2:B34))</f>
        <v>23040009</v>
      </c>
      <c r="C35" s="98">
        <v>45030</v>
      </c>
      <c r="D35" s="92" t="s">
        <v>129</v>
      </c>
      <c r="E35" s="97" t="s">
        <v>227</v>
      </c>
      <c r="F35" s="92" t="s">
        <v>42</v>
      </c>
      <c r="G35" s="95" t="str">
        <f>IF(Table1[[#This Row],[h_No. Invoice :]]="","",CONCATENATE("AM"," ",Table1[[#This Row],[h_No. Invoice :]]))</f>
        <v>AM 23040009</v>
      </c>
      <c r="H35" s="96" t="str">
        <f>CONCATENATE(UPPER(Table1[[#This Row],[h_Kode Sales :_1]])," ",Table1[[#This Row],[h_Kode Sales :_2]])</f>
        <v>KO 4010</v>
      </c>
      <c r="I35" s="95" t="str">
        <f>IF(Table1[[#This Row],[h_toko]]="","",INDEX(Table2[e],IF(Table1[[#This Row],[h_toko]]="","",MATCH(Table1[[#This Row],[h_toko]],Table2[a],0)),))</f>
        <v>CV TRINITY CENTRAAL PURWOKERTO</v>
      </c>
      <c r="J35" s="92">
        <v>12</v>
      </c>
      <c r="K35" s="92" t="s">
        <v>207</v>
      </c>
      <c r="L35" s="92">
        <v>1</v>
      </c>
      <c r="M35" s="304"/>
      <c r="N35" s="196" t="str">
        <f>IF(Table1[[#This Row],[h_Item Description]]="","",INDEX([1]!db[NB PAJAK],MATCH(Table1[[#This Row],[h_Item Description]],[1]!db[kode],0)))</f>
        <v/>
      </c>
      <c r="O35" s="92" t="s">
        <v>228</v>
      </c>
      <c r="P35" s="93">
        <v>150000</v>
      </c>
      <c r="Q35" s="94"/>
      <c r="S35" s="199">
        <f>Table1[[#This Row],[h_hargasetelahdiskon]]</f>
        <v>1800000</v>
      </c>
      <c r="T35" s="93" t="s">
        <v>229</v>
      </c>
      <c r="V35" s="95">
        <f ca="1">IF(Table1[[#This Row],[Item Description]]="","",IF(Table1[[#This Row],[//]]="",INDIRECT(ADDRESS(ROW()-1,COLUMN())),Table1[[#This Row],[//]]))</f>
        <v>35</v>
      </c>
      <c r="W35" s="95">
        <f ca="1">IF(Table1[[#This Row],[h_id]]="","",COUNTIF(Table1[h_id],Table1[[#This Row],[h_id]]))</f>
        <v>1</v>
      </c>
      <c r="X35" s="93">
        <f>IF(Table1[Item Description]="","",Table1[[#This Row],[Qty]]*Table1[[#This Row],[Unit Price]])</f>
        <v>1800000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1800000</v>
      </c>
      <c r="AC35" s="93">
        <f ca="1">IF(Table1[//]="","",SUMIF(Table1[h_id],Table1[h_id],Table1[h_hargasetelahdiskon]))</f>
        <v>1800000</v>
      </c>
      <c r="AD35" s="93"/>
      <c r="AE35" s="93" t="str">
        <f>Table1[[#This Row],[Item Description]]&amp;Table1[[#This Row],[Unit]]&amp;Table1[[#This Row],[Unit Price]]</f>
        <v>PENCIL CASE 22 x 7.5 MAGNET C-1758LS150000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N36" s="196" t="str">
        <f>IF(Table1[[#This Row],[h_Item Description]]="","",INDEX([1]!db[NB PAJAK],MATCH(Table1[[#This Row],[h_Item Description]],[1]!db[kode],0)))</f>
        <v/>
      </c>
      <c r="P36" s="93"/>
      <c r="Q36" s="94"/>
      <c r="S36" s="199" t="str">
        <f>Table1[[#This Row],[h_hargasetelahdiskon]]</f>
        <v/>
      </c>
      <c r="V36" s="95" t="str">
        <f ca="1">IF(Table1[[#This Row],[Item Description]]="","",IF(Table1[[#This Row],[//]]="",INDIRECT(ADDRESS(ROW()-1,COLUMN())),Table1[[#This Row],[//]]))</f>
        <v/>
      </c>
      <c r="W36" s="95" t="str">
        <f ca="1">IF(Table1[[#This Row],[h_id]]="","",COUNTIF(Table1[h_id],Table1[[#This Row],[h_id]]))</f>
        <v/>
      </c>
      <c r="X36" s="93" t="str">
        <f>IF(Table1[Item Description]="","",Table1[[#This Row],[Qty]]*Table1[[#This Row],[Unit Price]])</f>
        <v/>
      </c>
      <c r="Y36" s="93" t="str">
        <f>IF(Table1[[#This Row],[h_hargasebelumdiskon]]="","",IF(Table1[[#This Row],[Disc 1]]="",0,Table1[[#This Row],[h_hargasebelumdiskon]]*Table1[[#This Row],[Disc 1]]))</f>
        <v/>
      </c>
      <c r="Z36" s="93" t="str">
        <f>IF(Table1[[#This Row],[h_hargasebelumdiskon]]="","",IF(Table1[[#This Row],[Disc 2]]="",0,(Table1[[#This Row],[h_hargasebelumdiskon]]-Table1[[#This Row],[h_disc 1]])*Table1[[#This Row],[Disc 2]]))</f>
        <v/>
      </c>
      <c r="AA36" s="93" t="str">
        <f>IF(Table1[Item Description]="","",Table1[[#This Row],[h_disc 1]]+Table1[[#This Row],[h_disc 2]])</f>
        <v/>
      </c>
      <c r="AB36" s="93" t="str">
        <f>IF(Table1[Item Description]="","",Table1[[#This Row],[h_hargasebelumdiskon]]-Table1[[#This Row],[h_diskon]])</f>
        <v/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/>
      </c>
    </row>
    <row r="37" spans="1:31" x14ac:dyDescent="0.25">
      <c r="A37" s="95">
        <f>IF(Table1[[#This Row],[No. Invoice :]]="","",ROW())</f>
        <v>37</v>
      </c>
      <c r="B37" s="196">
        <f>IF(Table1[h_Kode Sales :_1]="","",B$1+COUNT(B$2:B36))</f>
        <v>23040010</v>
      </c>
      <c r="C37" s="98">
        <v>45030</v>
      </c>
      <c r="D37" s="92" t="s">
        <v>136</v>
      </c>
      <c r="E37" s="97" t="s">
        <v>217</v>
      </c>
      <c r="F37" s="92" t="s">
        <v>63</v>
      </c>
      <c r="G37" s="95" t="str">
        <f>IF(Table1[[#This Row],[h_No. Invoice :]]="","",CONCATENATE("AM"," ",Table1[[#This Row],[h_No. Invoice :]]))</f>
        <v>AM 23040010</v>
      </c>
      <c r="H37" s="96" t="str">
        <f>CONCATENATE(UPPER(Table1[[#This Row],[h_Kode Sales :_1]])," ",Table1[[#This Row],[h_Kode Sales :_2]])</f>
        <v>G 2944</v>
      </c>
      <c r="I37" s="95" t="str">
        <f>IF(Table1[[#This Row],[h_toko]]="","",INDEX(Table2[e],IF(Table1[[#This Row],[h_toko]]="","",MATCH(Table1[[#This Row],[h_toko]],Table2[a],0)),))</f>
        <v>SINAR BHAKTI YOGYAKARTA</v>
      </c>
      <c r="J37" s="92">
        <v>2</v>
      </c>
      <c r="K37" s="92" t="s">
        <v>207</v>
      </c>
      <c r="N37" s="196" t="str">
        <f>IF(Table1[[#This Row],[h_Item Description]]="","",INDEX([1]!db[NB PAJAK],MATCH(Table1[[#This Row],[h_Item Description]],[1]!db[kode],0)))</f>
        <v/>
      </c>
      <c r="O37" s="92" t="s">
        <v>208</v>
      </c>
      <c r="P37" s="93">
        <v>149000</v>
      </c>
      <c r="Q37" s="94"/>
      <c r="S37" s="199">
        <f>Table1[[#This Row],[h_hargasetelahdiskon]]</f>
        <v>298000</v>
      </c>
      <c r="T37" s="93" t="s">
        <v>226</v>
      </c>
      <c r="V37" s="95">
        <f ca="1">IF(Table1[[#This Row],[Item Description]]="","",IF(Table1[[#This Row],[//]]="",INDIRECT(ADDRESS(ROW()-1,COLUMN())),Table1[[#This Row],[//]]))</f>
        <v>37</v>
      </c>
      <c r="W37" s="95">
        <f ca="1">IF(Table1[[#This Row],[h_id]]="","",COUNTIF(Table1[h_id],Table1[[#This Row],[h_id]]))</f>
        <v>8</v>
      </c>
      <c r="X37" s="93">
        <f>IF(Table1[Item Description]="","",Table1[[#This Row],[Qty]]*Table1[[#This Row],[Unit Price]])</f>
        <v>298000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298000</v>
      </c>
      <c r="AC37" s="93">
        <f ca="1">IF(Table1[//]="","",SUMIF(Table1[h_id],Table1[h_id],Table1[h_hargasetelahdiskon]))</f>
        <v>1524500</v>
      </c>
      <c r="AD37" s="93"/>
      <c r="AE37" s="93" t="str">
        <f>Table1[[#This Row],[Item Description]]&amp;Table1[[#This Row],[Unit]]&amp;Table1[[#This Row],[Unit Price]]</f>
        <v>PENSIL WARNA KAYAGI KY-CP1224 TWINLS149000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139</v>
      </c>
      <c r="N38" s="196" t="str">
        <f>IF(Table1[[#This Row],[h_Item Description]]="","",INDEX([1]!db[NB PAJAK],MATCH(Table1[[#This Row],[h_Item Description]],[1]!db[kode],0)))</f>
        <v/>
      </c>
      <c r="O38" s="92" t="s">
        <v>209</v>
      </c>
      <c r="P38" s="93">
        <v>57000</v>
      </c>
      <c r="Q38" s="94"/>
      <c r="S38" s="199">
        <f>Table1[[#This Row],[h_hargasetelahdiskon]]</f>
        <v>114000</v>
      </c>
      <c r="V38" s="95">
        <f ca="1">IF(Table1[[#This Row],[Item Description]]="","",IF(Table1[[#This Row],[//]]="",INDIRECT(ADDRESS(ROW()-1,COLUMN())),Table1[[#This Row],[//]]))</f>
        <v>37</v>
      </c>
      <c r="W38" s="95">
        <f ca="1">IF(Table1[[#This Row],[h_id]]="","",COUNTIF(Table1[h_id],Table1[[#This Row],[h_id]]))</f>
        <v>8</v>
      </c>
      <c r="X38" s="93">
        <f>IF(Table1[Item Description]="","",Table1[[#This Row],[Qty]]*Table1[[#This Row],[Unit Price]])</f>
        <v>114000</v>
      </c>
      <c r="Y38" s="93">
        <f>IF(Table1[[#This Row],[h_hargasebelumdiskon]]="","",IF(Table1[[#This Row],[Disc 1]]="",0,Table1[[#This Row],[h_hargasebelumdiskon]]*Table1[[#This Row],[Disc 1]]))</f>
        <v>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0</v>
      </c>
      <c r="AB38" s="93">
        <f>IF(Table1[Item Description]="","",Table1[[#This Row],[h_hargasebelumdiskon]]-Table1[[#This Row],[h_diskon]])</f>
        <v>114000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HIGHLIGHTER / STABILLO TIZO TF-616 (isi 24 pc)BOX57000</v>
      </c>
    </row>
    <row r="39" spans="1:31" x14ac:dyDescent="0.25">
      <c r="A39" s="95" t="str">
        <f>IF(Table1[[#This Row],[No. Invoice :]]="","",ROW())</f>
        <v/>
      </c>
      <c r="B39" s="295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2</v>
      </c>
      <c r="K39" s="92" t="s">
        <v>139</v>
      </c>
      <c r="M39" s="296"/>
      <c r="N39" s="196" t="str">
        <f>IF(Table1[[#This Row],[h_Item Description]]="","",INDEX([1]!db[NB PAJAK],MATCH(Table1[[#This Row],[h_Item Description]],[1]!db[kode],0)))</f>
        <v/>
      </c>
      <c r="O39" s="92" t="s">
        <v>210</v>
      </c>
      <c r="P39" s="93">
        <v>122000</v>
      </c>
      <c r="Q39" s="94"/>
      <c r="S39" s="298">
        <f>Table1[[#This Row],[h_hargasetelahdiskon]]</f>
        <v>244000</v>
      </c>
      <c r="V39" s="95">
        <f ca="1">IF(Table1[[#This Row],[Item Description]]="","",IF(Table1[[#This Row],[//]]="",INDIRECT(ADDRESS(ROW()-1,COLUMN())),Table1[[#This Row],[//]]))</f>
        <v>37</v>
      </c>
      <c r="W39" s="95">
        <f ca="1">IF(Table1[[#This Row],[h_id]]="","",COUNTIF(Table1[h_id],Table1[[#This Row],[h_id]]))</f>
        <v>8</v>
      </c>
      <c r="X39" s="93">
        <f>IF(Table1[Item Description]="","",Table1[[#This Row],[Qty]]*Table1[[#This Row],[Unit Price]])</f>
        <v>244000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244000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pc)BOX122000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:_1]="","",B$1+COUNT(B$2:B38))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7</v>
      </c>
      <c r="K40" s="92" t="s">
        <v>207</v>
      </c>
      <c r="N40" s="196" t="str">
        <f>IF(Table1[[#This Row],[h_Item Description]]="","",INDEX([1]!db[NB PAJAK],MATCH(Table1[[#This Row],[h_Item Description]],[1]!db[kode],0)))</f>
        <v/>
      </c>
      <c r="O40" s="92" t="s">
        <v>211</v>
      </c>
      <c r="P40" s="93">
        <v>18500</v>
      </c>
      <c r="Q40" s="94"/>
      <c r="S40" s="199">
        <f>Table1[[#This Row],[h_hargasetelahdiskon]]</f>
        <v>129500</v>
      </c>
      <c r="V40" s="95">
        <f ca="1">IF(Table1[[#This Row],[Item Description]]="","",IF(Table1[[#This Row],[//]]="",INDIRECT(ADDRESS(ROW()-1,COLUMN())),Table1[[#This Row],[//]]))</f>
        <v>37</v>
      </c>
      <c r="W40" s="95">
        <f ca="1">IF(Table1[[#This Row],[h_id]]="","",COUNTIF(Table1[h_id],Table1[[#This Row],[h_id]]))</f>
        <v>8</v>
      </c>
      <c r="X40" s="93">
        <f>IF(Table1[Item Description]="","",Table1[[#This Row],[Qty]]*Table1[[#This Row],[Unit Price]])</f>
        <v>129500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129500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GEL PEN TIZO TG30801-ELLS18500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12</v>
      </c>
      <c r="K41" s="92" t="s">
        <v>207</v>
      </c>
      <c r="N41" s="196" t="str">
        <f>IF(Table1[[#This Row],[h_Item Description]]="","",INDEX([1]!db[NB PAJAK],MATCH(Table1[[#This Row],[h_Item Description]],[1]!db[kode],0)))</f>
        <v/>
      </c>
      <c r="O41" s="92" t="s">
        <v>212</v>
      </c>
      <c r="P41" s="93">
        <v>18500</v>
      </c>
      <c r="Q41" s="94"/>
      <c r="S41" s="199">
        <f>Table1[[#This Row],[h_hargasetelahdiskon]]</f>
        <v>222000</v>
      </c>
      <c r="V41" s="95">
        <f ca="1">IF(Table1[[#This Row],[Item Description]]="","",IF(Table1[[#This Row],[//]]="",INDIRECT(ADDRESS(ROW()-1,COLUMN())),Table1[[#This Row],[//]]))</f>
        <v>37</v>
      </c>
      <c r="W41" s="95">
        <f ca="1">IF(Table1[[#This Row],[h_id]]="","",COUNTIF(Table1[h_id],Table1[[#This Row],[h_id]]))</f>
        <v>8</v>
      </c>
      <c r="X41" s="93">
        <f>IF(Table1[Item Description]="","",Table1[[#This Row],[Qty]]*Table1[[#This Row],[Unit Price]])</f>
        <v>222000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222000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GEL PEN TIZO TG31590-ELLS18500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J42" s="92">
        <v>2</v>
      </c>
      <c r="K42" s="92" t="s">
        <v>207</v>
      </c>
      <c r="N42" s="196" t="str">
        <f>IF(Table1[[#This Row],[h_Item Description]]="","",INDEX([1]!db[NB PAJAK],MATCH(Table1[[#This Row],[h_Item Description]],[1]!db[kode],0)))</f>
        <v/>
      </c>
      <c r="O42" s="92" t="s">
        <v>213</v>
      </c>
      <c r="P42" s="93">
        <v>18500</v>
      </c>
      <c r="Q42" s="94"/>
      <c r="S42" s="199">
        <f>Table1[[#This Row],[h_hargasetelahdiskon]]</f>
        <v>37000</v>
      </c>
      <c r="V42" s="95">
        <f ca="1">IF(Table1[[#This Row],[Item Description]]="","",IF(Table1[[#This Row],[//]]="",INDIRECT(ADDRESS(ROW()-1,COLUMN())),Table1[[#This Row],[//]]))</f>
        <v>37</v>
      </c>
      <c r="W42" s="95">
        <f ca="1">IF(Table1[[#This Row],[h_id]]="","",COUNTIF(Table1[h_id],Table1[[#This Row],[h_id]]))</f>
        <v>8</v>
      </c>
      <c r="X42" s="93">
        <f>IF(Table1[Item Description]="","",Table1[[#This Row],[Qty]]*Table1[[#This Row],[Unit Price]])</f>
        <v>37000</v>
      </c>
      <c r="Y42" s="93">
        <f>IF(Table1[[#This Row],[h_hargasebelumdiskon]]="","",IF(Table1[[#This Row],[Disc 1]]="",0,Table1[[#This Row],[h_hargasebelumdiskon]]*Table1[[#This Row],[Disc 1]]))</f>
        <v>0</v>
      </c>
      <c r="Z42" s="93">
        <f>IF(Table1[[#This Row],[h_hargasebelumdiskon]]="","",IF(Table1[[#This Row],[Disc 2]]="",0,(Table1[[#This Row],[h_hargasebelumdiskon]]-Table1[[#This Row],[h_disc 1]])*Table1[[#This Row],[Disc 2]]))</f>
        <v>0</v>
      </c>
      <c r="AA42" s="93">
        <f>IF(Table1[Item Description]="","",Table1[[#This Row],[h_disc 1]]+Table1[[#This Row],[h_disc 2]])</f>
        <v>0</v>
      </c>
      <c r="AB42" s="93">
        <f>IF(Table1[Item Description]="","",Table1[[#This Row],[h_hargasebelumdiskon]]-Table1[[#This Row],[h_diskon]])</f>
        <v>37000</v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>GEL PEN TIZO TG31762-ELLS18500</v>
      </c>
    </row>
    <row r="43" spans="1:31" x14ac:dyDescent="0.25">
      <c r="A43" s="95" t="str">
        <f>IF(Table1[[#This Row],[No. Invoice :]]="","",ROW())</f>
        <v/>
      </c>
      <c r="B43" s="196" t="str">
        <f>IF(Table1[h_Kode Sales :_1]="","",B$1+COUNT(B$2:B42))</f>
        <v/>
      </c>
      <c r="G43" s="95" t="str">
        <f>IF(Table1[[#This Row],[h_No. Invoice :]]="","",CONCATENATE("AM"," ",Table1[[#This Row],[h_No. Invoice :]]))</f>
        <v/>
      </c>
      <c r="H43" s="96" t="str">
        <f>CONCATENATE(UPPER(Table1[[#This Row],[h_Kode Sales :_1]])," ",Table1[[#This Row],[h_Kode Sales :_2]])</f>
        <v xml:space="preserve"> </v>
      </c>
      <c r="I43" s="95" t="str">
        <f>IF(Table1[[#This Row],[h_toko]]="","",INDEX(Table2[e],IF(Table1[[#This Row],[h_toko]]="","",MATCH(Table1[[#This Row],[h_toko]],Table2[a],0)),))</f>
        <v/>
      </c>
      <c r="J43" s="92">
        <v>12</v>
      </c>
      <c r="K43" s="92" t="s">
        <v>214</v>
      </c>
      <c r="N43" s="196" t="str">
        <f>IF(Table1[[#This Row],[h_Item Description]]="","",INDEX([1]!db[NB PAJAK],MATCH(Table1[[#This Row],[h_Item Description]],[1]!db[kode],0)))</f>
        <v/>
      </c>
      <c r="O43" s="92" t="s">
        <v>215</v>
      </c>
      <c r="P43" s="93">
        <v>25000</v>
      </c>
      <c r="Q43" s="94">
        <v>0.1</v>
      </c>
      <c r="S43" s="199">
        <f>Table1[[#This Row],[h_hargasetelahdiskon]]</f>
        <v>270000</v>
      </c>
      <c r="V43" s="95">
        <f ca="1">IF(Table1[[#This Row],[Item Description]]="","",IF(Table1[[#This Row],[//]]="",INDIRECT(ADDRESS(ROW()-1,COLUMN())),Table1[[#This Row],[//]]))</f>
        <v>37</v>
      </c>
      <c r="W43" s="95">
        <f ca="1">IF(Table1[[#This Row],[h_id]]="","",COUNTIF(Table1[h_id],Table1[[#This Row],[h_id]]))</f>
        <v>8</v>
      </c>
      <c r="X43" s="93">
        <f>IF(Table1[Item Description]="","",Table1[[#This Row],[Qty]]*Table1[[#This Row],[Unit Price]])</f>
        <v>300000</v>
      </c>
      <c r="Y43" s="93">
        <f>IF(Table1[[#This Row],[h_hargasebelumdiskon]]="","",IF(Table1[[#This Row],[Disc 1]]="",0,Table1[[#This Row],[h_hargasebelumdiskon]]*Table1[[#This Row],[Disc 1]]))</f>
        <v>30000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30000</v>
      </c>
      <c r="AB43" s="93">
        <f>IF(Table1[Item Description]="","",Table1[[#This Row],[h_hargasebelumdiskon]]-Table1[[#This Row],[h_diskon]])</f>
        <v>270000</v>
      </c>
      <c r="AC43" s="93" t="str">
        <f>IF(Table1[//]="","",SUMIF(Table1[h_id],Table1[h_id],Table1[h_hargasetelahdiskon]))</f>
        <v/>
      </c>
      <c r="AD43" s="93"/>
      <c r="AE43" s="93" t="str">
        <f>Table1[[#This Row],[Item Description]]&amp;Table1[[#This Row],[Unit]]&amp;Table1[[#This Row],[Unit Price]]</f>
        <v>COLOR BRUSH PEN KENKO DBP-12 DUAL TIP  (12 WARNA)SET25000</v>
      </c>
    </row>
    <row r="44" spans="1:31" x14ac:dyDescent="0.25">
      <c r="A44" s="95" t="str">
        <f>IF(Table1[[#This Row],[No. Invoice :]]="","",ROW())</f>
        <v/>
      </c>
      <c r="B44" s="196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J44" s="92">
        <v>2</v>
      </c>
      <c r="K44" s="92" t="s">
        <v>139</v>
      </c>
      <c r="N44" s="196" t="str">
        <f>IF(Table1[[#This Row],[h_Item Description]]="","",INDEX([1]!db[NB PAJAK],MATCH(Table1[[#This Row],[h_Item Description]],[1]!db[kode],0)))</f>
        <v/>
      </c>
      <c r="O44" s="92" t="s">
        <v>216</v>
      </c>
      <c r="P44" s="93">
        <v>105000</v>
      </c>
      <c r="Q44" s="94"/>
      <c r="S44" s="199">
        <f>Table1[[#This Row],[h_hargasetelahdiskon]]</f>
        <v>210000</v>
      </c>
      <c r="V44" s="95">
        <f ca="1">IF(Table1[[#This Row],[Item Description]]="","",IF(Table1[[#This Row],[//]]="",INDIRECT(ADDRESS(ROW()-1,COLUMN())),Table1[[#This Row],[//]]))</f>
        <v>37</v>
      </c>
      <c r="W44" s="95">
        <f ca="1">IF(Table1[[#This Row],[h_id]]="","",COUNTIF(Table1[h_id],Table1[[#This Row],[h_id]]))</f>
        <v>8</v>
      </c>
      <c r="X44" s="93">
        <f>IF(Table1[Item Description]="","",Table1[[#This Row],[Qty]]*Table1[[#This Row],[Unit Price]])</f>
        <v>210000</v>
      </c>
      <c r="Y44" s="93">
        <f>IF(Table1[[#This Row],[h_hargasebelumdiskon]]="","",IF(Table1[[#This Row],[Disc 1]]="",0,Table1[[#This Row],[h_hargasebelumdiskon]]*Table1[[#This Row],[Disc 1]]))</f>
        <v>0</v>
      </c>
      <c r="Z44" s="93">
        <f>IF(Table1[[#This Row],[h_hargasebelumdiskon]]="","",IF(Table1[[#This Row],[Disc 2]]="",0,(Table1[[#This Row],[h_hargasebelumdiskon]]-Table1[[#This Row],[h_disc 1]])*Table1[[#This Row],[Disc 2]]))</f>
        <v>0</v>
      </c>
      <c r="AA44" s="93">
        <f>IF(Table1[Item Description]="","",Table1[[#This Row],[h_disc 1]]+Table1[[#This Row],[h_disc 2]])</f>
        <v>0</v>
      </c>
      <c r="AB44" s="93">
        <f>IF(Table1[Item Description]="","",Table1[[#This Row],[h_hargasebelumdiskon]]-Table1[[#This Row],[h_diskon]])</f>
        <v>210000</v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>TAPE DISPENSER POLAR BEAR MN-305 @12pcBOX105000</v>
      </c>
    </row>
    <row r="45" spans="1:31" x14ac:dyDescent="0.25">
      <c r="A45" s="95" t="str">
        <f>IF(Table1[[#This Row],[No. Invoice :]]="","",ROW())</f>
        <v/>
      </c>
      <c r="B45" s="196" t="str">
        <f>IF(Table1[h_Kode Sales :_1]="","",B$1+COUNT(B$2:B44))</f>
        <v/>
      </c>
      <c r="G45" s="95" t="str">
        <f>IF(Table1[[#This Row],[h_No. Invoice :]]="","",CONCATENATE("AM"," ",Table1[[#This Row],[h_No. Invoice :]]))</f>
        <v/>
      </c>
      <c r="H45" s="96" t="str">
        <f>CONCATENATE(UPPER(Table1[[#This Row],[h_Kode Sales :_1]])," ",Table1[[#This Row],[h_Kode Sales :_2]])</f>
        <v xml:space="preserve"> </v>
      </c>
      <c r="I45" s="95" t="str">
        <f>IF(Table1[[#This Row],[h_toko]]="","",INDEX(Table2[e],IF(Table1[[#This Row],[h_toko]]="","",MATCH(Table1[[#This Row],[h_toko]],Table2[a],0)),))</f>
        <v/>
      </c>
      <c r="N45" s="196" t="str">
        <f>IF(Table1[[#This Row],[h_Item Description]]="","",INDEX([1]!db[NB PAJAK],MATCH(Table1[[#This Row],[h_Item Description]],[1]!db[kode],0)))</f>
        <v/>
      </c>
      <c r="P45" s="93"/>
      <c r="Q45" s="94"/>
      <c r="S45" s="199" t="str">
        <f>Table1[[#This Row],[h_hargasetelahdiskon]]</f>
        <v/>
      </c>
      <c r="V45" s="95" t="str">
        <f ca="1">IF(Table1[[#This Row],[Item Description]]="","",IF(Table1[[#This Row],[//]]="",INDIRECT(ADDRESS(ROW()-1,COLUMN())),Table1[[#This Row],[//]]))</f>
        <v/>
      </c>
      <c r="W45" s="95" t="str">
        <f ca="1">IF(Table1[[#This Row],[h_id]]="","",COUNTIF(Table1[h_id],Table1[[#This Row],[h_id]]))</f>
        <v/>
      </c>
      <c r="X45" s="93" t="str">
        <f>IF(Table1[Item Description]="","",Table1[[#This Row],[Qty]]*Table1[[#This Row],[Unit Price]])</f>
        <v/>
      </c>
      <c r="Y45" s="93" t="str">
        <f>IF(Table1[[#This Row],[h_hargasebelumdiskon]]="","",IF(Table1[[#This Row],[Disc 1]]="",0,Table1[[#This Row],[h_hargasebelumdiskon]]*Table1[[#This Row],[Disc 1]]))</f>
        <v/>
      </c>
      <c r="Z45" s="93" t="str">
        <f>IF(Table1[[#This Row],[h_hargasebelumdiskon]]="","",IF(Table1[[#This Row],[Disc 2]]="",0,(Table1[[#This Row],[h_hargasebelumdiskon]]-Table1[[#This Row],[h_disc 1]])*Table1[[#This Row],[Disc 2]]))</f>
        <v/>
      </c>
      <c r="AA45" s="93" t="str">
        <f>IF(Table1[Item Description]="","",Table1[[#This Row],[h_disc 1]]+Table1[[#This Row],[h_disc 2]])</f>
        <v/>
      </c>
      <c r="AB45" s="93" t="str">
        <f>IF(Table1[Item Description]="","",Table1[[#This Row],[h_hargasebelumdiskon]]-Table1[[#This Row],[h_diskon]])</f>
        <v/>
      </c>
      <c r="AC45" s="93" t="str">
        <f>IF(Table1[//]="","",SUMIF(Table1[h_id],Table1[h_id],Table1[h_hargasetelahdiskon]))</f>
        <v/>
      </c>
      <c r="AD45" s="93"/>
      <c r="AE45" s="93" t="str">
        <f>Table1[[#This Row],[Item Description]]&amp;Table1[[#This Row],[Unit]]&amp;Table1[[#This Row],[Unit Price]]</f>
        <v/>
      </c>
    </row>
    <row r="46" spans="1:31" x14ac:dyDescent="0.25">
      <c r="A46" s="95">
        <f>IF(Table1[[#This Row],[No. Invoice :]]="","",ROW())</f>
        <v>46</v>
      </c>
      <c r="B46" s="196">
        <f>IF(Table1[h_Kode Sales :_1]="","",B$1+COUNT(B$2:B45))</f>
        <v>23040011</v>
      </c>
      <c r="C46" s="98">
        <v>45031</v>
      </c>
      <c r="D46" s="92" t="s">
        <v>182</v>
      </c>
      <c r="E46" s="97" t="s">
        <v>232</v>
      </c>
      <c r="F46" s="92" t="s">
        <v>233</v>
      </c>
      <c r="G46" s="95" t="str">
        <f>IF(Table1[[#This Row],[h_No. Invoice :]]="","",CONCATENATE("AM"," ",Table1[[#This Row],[h_No. Invoice :]]))</f>
        <v>AM 23040011</v>
      </c>
      <c r="H46" s="96" t="str">
        <f>CONCATENATE(UPPER(Table1[[#This Row],[h_Kode Sales :_1]])," ",Table1[[#This Row],[h_Kode Sales :_2]])</f>
        <v>KO 2945</v>
      </c>
      <c r="I46" s="95" t="str">
        <f>IF(Table1[[#This Row],[h_toko]]="","",INDEX(Table2[e],IF(Table1[[#This Row],[h_toko]]="","",MATCH(Table1[[#This Row],[h_toko]],Table2[a],0)),))</f>
        <v>CV DWI JAYA YOGYAKARTA</v>
      </c>
      <c r="J46" s="92">
        <v>5</v>
      </c>
      <c r="K46" s="92" t="s">
        <v>131</v>
      </c>
      <c r="M46" s="92" t="s">
        <v>234</v>
      </c>
      <c r="N46" s="196" t="str">
        <f>IF(Table1[[#This Row],[h_Item Description]]="","",INDEX([1]!db[NB PAJAK],MATCH(Table1[[#This Row],[h_Item Description]],[1]!db[kode],0)))</f>
        <v>CORRECTION TAPE KENKO CT-606 (6M x 5MM)</v>
      </c>
      <c r="O46" s="92" t="s">
        <v>235</v>
      </c>
      <c r="P46" s="93">
        <v>58800</v>
      </c>
      <c r="Q46" s="94">
        <v>0.1</v>
      </c>
      <c r="S46" s="199">
        <f>Table1[[#This Row],[h_hargasetelahdiskon]]</f>
        <v>264600</v>
      </c>
      <c r="T46" s="93" t="s">
        <v>133</v>
      </c>
      <c r="V46" s="95">
        <f ca="1">IF(Table1[[#This Row],[Item Description]]="","",IF(Table1[[#This Row],[//]]="",INDIRECT(ADDRESS(ROW()-1,COLUMN())),Table1[[#This Row],[//]]))</f>
        <v>46</v>
      </c>
      <c r="W46" s="95">
        <f ca="1">IF(Table1[[#This Row],[h_id]]="","",COUNTIF(Table1[h_id],Table1[[#This Row],[h_id]]))</f>
        <v>2</v>
      </c>
      <c r="X46" s="93">
        <f>IF(Table1[Item Description]="","",Table1[[#This Row],[Qty]]*Table1[[#This Row],[Unit Price]])</f>
        <v>294000</v>
      </c>
      <c r="Y46" s="93">
        <f>IF(Table1[[#This Row],[h_hargasebelumdiskon]]="","",IF(Table1[[#This Row],[Disc 1]]="",0,Table1[[#This Row],[h_hargasebelumdiskon]]*Table1[[#This Row],[Disc 1]]))</f>
        <v>29400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29400</v>
      </c>
      <c r="AB46" s="93">
        <f>IF(Table1[Item Description]="","",Table1[[#This Row],[h_hargasebelumdiskon]]-Table1[[#This Row],[h_diskon]])</f>
        <v>264600</v>
      </c>
      <c r="AC46" s="93">
        <f ca="1">IF(Table1[//]="","",SUMIF(Table1[h_id],Table1[h_id],Table1[h_hargasetelahdiskon]))</f>
        <v>1026000</v>
      </c>
      <c r="AD46" s="93"/>
      <c r="AE46" s="93" t="str">
        <f>Table1[[#This Row],[Item Description]]&amp;Table1[[#This Row],[Unit]]&amp;Table1[[#This Row],[Unit Price]]</f>
        <v>CORRECTION TAPE KENKO CT-606 (6M x 5MM)LSN58800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3</v>
      </c>
      <c r="K47" s="92" t="s">
        <v>131</v>
      </c>
      <c r="M47" s="92" t="s">
        <v>236</v>
      </c>
      <c r="N47" s="196" t="str">
        <f>IF(Table1[[#This Row],[h_Item Description]]="","",INDEX([1]!db[NB PAJAK],MATCH(Table1[[#This Row],[h_Item Description]],[1]!db[kode],0)))</f>
        <v>PUNCH KENKO NO. 40</v>
      </c>
      <c r="O47" s="92" t="s">
        <v>237</v>
      </c>
      <c r="P47" s="93">
        <v>282000</v>
      </c>
      <c r="Q47" s="94">
        <v>0.1</v>
      </c>
      <c r="S47" s="199">
        <f>Table1[[#This Row],[h_hargasetelahdiskon]]</f>
        <v>761400</v>
      </c>
      <c r="V47" s="95">
        <f ca="1">IF(Table1[[#This Row],[Item Description]]="","",IF(Table1[[#This Row],[//]]="",INDIRECT(ADDRESS(ROW()-1,COLUMN())),Table1[[#This Row],[//]]))</f>
        <v>46</v>
      </c>
      <c r="W47" s="95">
        <f ca="1">IF(Table1[[#This Row],[h_id]]="","",COUNTIF(Table1[h_id],Table1[[#This Row],[h_id]]))</f>
        <v>2</v>
      </c>
      <c r="X47" s="93">
        <f>IF(Table1[Item Description]="","",Table1[[#This Row],[Qty]]*Table1[[#This Row],[Unit Price]])</f>
        <v>846000</v>
      </c>
      <c r="Y47" s="93">
        <f>IF(Table1[[#This Row],[h_hargasebelumdiskon]]="","",IF(Table1[[#This Row],[Disc 1]]="",0,Table1[[#This Row],[h_hargasebelumdiskon]]*Table1[[#This Row],[Disc 1]]))</f>
        <v>84600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84600</v>
      </c>
      <c r="AB47" s="93">
        <f>IF(Table1[Item Description]="","",Table1[[#This Row],[h_hargasebelumdiskon]]-Table1[[#This Row],[h_diskon]])</f>
        <v>761400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PUNCH KENKO NO. 40LSN282000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N48" s="196" t="str">
        <f>IF(Table1[[#This Row],[h_Item Description]]="","",INDEX([1]!db[NB PAJAK],MATCH(Table1[[#This Row],[h_Item Description]],[1]!db[kode],0)))</f>
        <v/>
      </c>
      <c r="P48" s="93"/>
      <c r="Q48" s="94"/>
      <c r="S48" s="199" t="str">
        <f>Table1[[#This Row],[h_hargasetelahdiskon]]</f>
        <v/>
      </c>
      <c r="V48" s="95" t="str">
        <f ca="1">IF(Table1[[#This Row],[Item Description]]="","",IF(Table1[[#This Row],[//]]="",INDIRECT(ADDRESS(ROW()-1,COLUMN())),Table1[[#This Row],[//]]))</f>
        <v/>
      </c>
      <c r="W48" s="95" t="str">
        <f ca="1">IF(Table1[[#This Row],[h_id]]="","",COUNTIF(Table1[h_id],Table1[[#This Row],[h_id]]))</f>
        <v/>
      </c>
      <c r="X48" s="93" t="str">
        <f>IF(Table1[Item Description]="","",Table1[[#This Row],[Qty]]*Table1[[#This Row],[Unit Price]])</f>
        <v/>
      </c>
      <c r="Y48" s="93" t="str">
        <f>IF(Table1[[#This Row],[h_hargasebelumdiskon]]="","",IF(Table1[[#This Row],[Disc 1]]="",0,Table1[[#This Row],[h_hargasebelumdiskon]]*Table1[[#This Row],[Disc 1]]))</f>
        <v/>
      </c>
      <c r="Z48" s="93" t="str">
        <f>IF(Table1[[#This Row],[h_hargasebelumdiskon]]="","",IF(Table1[[#This Row],[Disc 2]]="",0,(Table1[[#This Row],[h_hargasebelumdiskon]]-Table1[[#This Row],[h_disc 1]])*Table1[[#This Row],[Disc 2]]))</f>
        <v/>
      </c>
      <c r="AA48" s="93" t="str">
        <f>IF(Table1[Item Description]="","",Table1[[#This Row],[h_disc 1]]+Table1[[#This Row],[h_disc 2]])</f>
        <v/>
      </c>
      <c r="AB48" s="93" t="str">
        <f>IF(Table1[Item Description]="","",Table1[[#This Row],[h_hargasebelumdiskon]]-Table1[[#This Row],[h_diskon]])</f>
        <v/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/>
      </c>
    </row>
    <row r="49" spans="1:31" x14ac:dyDescent="0.25">
      <c r="A49" s="95">
        <f>IF(Table1[[#This Row],[No. Invoice :]]="","",ROW())</f>
        <v>49</v>
      </c>
      <c r="B49" s="196">
        <f>IF(Table1[h_Kode Sales :_1]="","",B$1+COUNT(B$2:B48))</f>
        <v>23040012</v>
      </c>
      <c r="C49" s="98">
        <v>45026</v>
      </c>
      <c r="D49" s="92" t="s">
        <v>129</v>
      </c>
      <c r="E49" s="97" t="s">
        <v>240</v>
      </c>
      <c r="F49" s="92" t="s">
        <v>73</v>
      </c>
      <c r="G49" s="95" t="str">
        <f>IF(Table1[[#This Row],[h_No. Invoice :]]="","",CONCATENATE("AM"," ",Table1[[#This Row],[h_No. Invoice :]]))</f>
        <v>AM 23040012</v>
      </c>
      <c r="H49" s="96" t="str">
        <f>CONCATENATE(UPPER(Table1[[#This Row],[h_Kode Sales :_1]])," ",Table1[[#This Row],[h_Kode Sales :_2]])</f>
        <v>KO 1463</v>
      </c>
      <c r="I49" s="95" t="str">
        <f>IF(Table1[[#This Row],[h_toko]]="","",INDEX(Table2[e],IF(Table1[[#This Row],[h_toko]]="","",MATCH(Table1[[#This Row],[h_toko]],Table2[a],0)),))</f>
        <v>HARNOYO (BENDAN) PEKALONGAN</v>
      </c>
      <c r="J49" s="92">
        <v>24</v>
      </c>
      <c r="K49" s="92" t="s">
        <v>143</v>
      </c>
      <c r="L49" s="92">
        <v>1</v>
      </c>
      <c r="M49" s="92" t="s">
        <v>241</v>
      </c>
      <c r="N49" s="196" t="str">
        <f>IF(Table1[[#This Row],[h_Item Description]]="","",INDEX([1]!db[NB PAJAK],MATCH(Table1[[#This Row],[h_Item Description]],[1]!db[kode],0)))</f>
        <v>TAPE DISPENSER KENKO TD-321 (1" &amp; 3" CORE)</v>
      </c>
      <c r="O49" s="92" t="s">
        <v>242</v>
      </c>
      <c r="P49" s="93">
        <v>18500</v>
      </c>
      <c r="Q49" s="94">
        <v>0.14000000000000001</v>
      </c>
      <c r="S49" s="199">
        <f>Table1[[#This Row],[h_hargasetelahdiskon]]</f>
        <v>381840</v>
      </c>
      <c r="T49" s="93" t="s">
        <v>243</v>
      </c>
      <c r="V49" s="95">
        <f ca="1">IF(Table1[[#This Row],[Item Description]]="","",IF(Table1[[#This Row],[//]]="",INDIRECT(ADDRESS(ROW()-1,COLUMN())),Table1[[#This Row],[//]]))</f>
        <v>49</v>
      </c>
      <c r="W49" s="95">
        <f ca="1">IF(Table1[[#This Row],[h_id]]="","",COUNTIF(Table1[h_id],Table1[[#This Row],[h_id]]))</f>
        <v>1</v>
      </c>
      <c r="X49" s="93">
        <f>IF(Table1[Item Description]="","",Table1[[#This Row],[Qty]]*Table1[[#This Row],[Unit Price]])</f>
        <v>444000</v>
      </c>
      <c r="Y49" s="93">
        <f>IF(Table1[[#This Row],[h_hargasebelumdiskon]]="","",IF(Table1[[#This Row],[Disc 1]]="",0,Table1[[#This Row],[h_hargasebelumdiskon]]*Table1[[#This Row],[Disc 1]]))</f>
        <v>62160.000000000007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62160.000000000007</v>
      </c>
      <c r="AB49" s="93">
        <f>IF(Table1[Item Description]="","",Table1[[#This Row],[h_hargasebelumdiskon]]-Table1[[#This Row],[h_diskon]])</f>
        <v>381840</v>
      </c>
      <c r="AC49" s="93">
        <f ca="1">IF(Table1[//]="","",SUMIF(Table1[h_id],Table1[h_id],Table1[h_hargasetelahdiskon]))</f>
        <v>381840</v>
      </c>
      <c r="AD49" s="93"/>
      <c r="AE49" s="93" t="str">
        <f>Table1[[#This Row],[Item Description]]&amp;Table1[[#This Row],[Unit]]&amp;Table1[[#This Row],[Unit Price]]</f>
        <v>TAPE DISPENSER KENKO TD-321 (1" &amp; 3" CORE)PCS18500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23040013</v>
      </c>
      <c r="C51" s="98">
        <v>45026</v>
      </c>
      <c r="D51" s="92" t="s">
        <v>129</v>
      </c>
      <c r="E51" s="97" t="s">
        <v>245</v>
      </c>
      <c r="F51" s="92" t="s">
        <v>73</v>
      </c>
      <c r="G51" s="95" t="str">
        <f>IF(Table1[[#This Row],[h_No. Invoice :]]="","",CONCATENATE("AM"," ",Table1[[#This Row],[h_No. Invoice :]]))</f>
        <v>AM 23040013</v>
      </c>
      <c r="H51" s="96" t="str">
        <f>CONCATENATE(UPPER(Table1[[#This Row],[h_Kode Sales :_1]])," ",Table1[[#This Row],[h_Kode Sales :_2]])</f>
        <v>KO 1464</v>
      </c>
      <c r="I51" s="95" t="str">
        <f>IF(Table1[[#This Row],[h_toko]]="","",INDEX(Table2[e],IF(Table1[[#This Row],[h_toko]]="","",MATCH(Table1[[#This Row],[h_toko]],Table2[a],0)),))</f>
        <v>HARNOYO (BENDAN) PEKALONGAN</v>
      </c>
      <c r="J51" s="92">
        <v>60</v>
      </c>
      <c r="K51" s="92" t="s">
        <v>143</v>
      </c>
      <c r="M51" s="92" t="s">
        <v>246</v>
      </c>
      <c r="N51" s="196" t="e">
        <f>IF(Table1[[#This Row],[h_Item Description]]="","",INDEX([1]!db[NB PAJAK],MATCH(Table1[[#This Row],[h_Item Description]],[1]!db[kode],0)))</f>
        <v>#N/A</v>
      </c>
      <c r="O51" s="92" t="s">
        <v>247</v>
      </c>
      <c r="P51" s="93">
        <v>3700</v>
      </c>
      <c r="Q51" s="94">
        <v>0.14000000000000001</v>
      </c>
      <c r="S51" s="199">
        <f>Table1[[#This Row],[h_hargasetelahdiskon]]</f>
        <v>190920</v>
      </c>
      <c r="T51" s="93" t="s">
        <v>243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222000</v>
      </c>
      <c r="Y51" s="93">
        <f>IF(Table1[[#This Row],[h_hargasebelumdiskon]]="","",IF(Table1[[#This Row],[Disc 1]]="",0,Table1[[#This Row],[h_hargasebelumdiskon]]*Table1[[#This Row],[Disc 1]]))</f>
        <v>31080.000000000004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31080.000000000004</v>
      </c>
      <c r="AB51" s="93">
        <f>IF(Table1[Item Description]="","",Table1[[#This Row],[h_hargasebelumdiskon]]-Table1[[#This Row],[h_diskon]])</f>
        <v>190920</v>
      </c>
      <c r="AC51" s="93">
        <f ca="1">IF(Table1[//]="","",SUMIF(Table1[h_id],Table1[h_id],Table1[h_hargasetelahdiskon]))</f>
        <v>190920</v>
      </c>
      <c r="AD51" s="93"/>
      <c r="AE51" s="93" t="str">
        <f>Table1[[#This Row],[Item Description]]&amp;Table1[[#This Row],[Unit]]&amp;Table1[[#This Row],[Unit Price]]</f>
        <v>HIGHLIGHTER / STABILLO JOYKO HL MIX (kuning, hijau)PCS3700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D52" s="197"/>
      <c r="E52" s="198"/>
      <c r="F52" s="197"/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 t="str">
        <f>IF(Table1[[#This Row],[No. Invoice :]]="","",ROW())</f>
        <v/>
      </c>
      <c r="B53" s="196" t="str">
        <f>IF(Table1[h_Kode Sales :_1]="","",B$1+COUNT(B$2:B52))</f>
        <v/>
      </c>
      <c r="G53" s="95" t="str">
        <f>IF(Table1[[#This Row],[h_No. Invoice :]]="","",CONCATENATE("AM"," ",Table1[[#This Row],[h_No. Invoice :]]))</f>
        <v/>
      </c>
      <c r="H53" s="96" t="str">
        <f>CONCATENATE(UPPER(Table1[[#This Row],[h_Kode Sales :_1]])," ",Table1[[#This Row],[h_Kode Sales :_2]])</f>
        <v xml:space="preserve"> </v>
      </c>
      <c r="I53" s="95" t="str">
        <f>IF(Table1[[#This Row],[h_toko]]="","",INDEX(Table2[e],IF(Table1[[#This Row],[h_toko]]="","",MATCH(Table1[[#This Row],[h_toko]],Table2[a],0)),))</f>
        <v/>
      </c>
      <c r="N53" s="196" t="str">
        <f>IF(Table1[[#This Row],[h_Item Description]]="","",INDEX([1]!db[NB PAJAK],MATCH(Table1[[#This Row],[h_Item Description]],[1]!db[kode],0)))</f>
        <v/>
      </c>
      <c r="P53" s="93"/>
      <c r="Q53" s="94"/>
      <c r="S53" s="199" t="str">
        <f>Table1[[#This Row],[h_hargasetelahdiskon]]</f>
        <v/>
      </c>
      <c r="V53" s="95" t="str">
        <f ca="1">IF(Table1[[#This Row],[Item Description]]="","",IF(Table1[[#This Row],[//]]="",INDIRECT(ADDRESS(ROW()-1,COLUMN())),Table1[[#This Row],[//]]))</f>
        <v/>
      </c>
      <c r="W53" s="95" t="str">
        <f ca="1">IF(Table1[[#This Row],[h_id]]="","",COUNTIF(Table1[h_id],Table1[[#This Row],[h_id]]))</f>
        <v/>
      </c>
      <c r="X53" s="93" t="str">
        <f>IF(Table1[Item Description]="","",Table1[[#This Row],[Qty]]*Table1[[#This Row],[Unit Price]])</f>
        <v/>
      </c>
      <c r="Y53" s="93" t="str">
        <f>IF(Table1[[#This Row],[h_hargasebelumdiskon]]="","",IF(Table1[[#This Row],[Disc 1]]="",0,Table1[[#This Row],[h_hargasebelumdiskon]]*Table1[[#This Row],[Disc 1]]))</f>
        <v/>
      </c>
      <c r="Z53" s="93" t="str">
        <f>IF(Table1[[#This Row],[h_hargasebelumdiskon]]="","",IF(Table1[[#This Row],[Disc 2]]="",0,(Table1[[#This Row],[h_hargasebelumdiskon]]-Table1[[#This Row],[h_disc 1]])*Table1[[#This Row],[Disc 2]]))</f>
        <v/>
      </c>
      <c r="AA53" s="93" t="str">
        <f>IF(Table1[Item Description]="","",Table1[[#This Row],[h_disc 1]]+Table1[[#This Row],[h_disc 2]])</f>
        <v/>
      </c>
      <c r="AB53" s="93" t="str">
        <f>IF(Table1[Item Description]="","",Table1[[#This Row],[h_hargasebelumdiskon]]-Table1[[#This Row],[h_diskon]])</f>
        <v/>
      </c>
      <c r="AC53" s="93" t="str">
        <f>IF(Table1[//]="","",SUMIF(Table1[h_id],Table1[h_id],Table1[h_hargasetelahdiskon]))</f>
        <v/>
      </c>
      <c r="AD53" s="93"/>
      <c r="AE53" s="93" t="str">
        <f>Table1[[#This Row],[Item Description]]&amp;Table1[[#This Row],[Unit]]&amp;Table1[[#This Row],[Unit Price]]</f>
        <v/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D54" s="197"/>
      <c r="E54" s="198"/>
      <c r="F54" s="197"/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N54" s="196" t="str">
        <f>IF(Table1[[#This Row],[h_Item Description]]="","",INDEX([1]!db[NB PAJAK],MATCH(Table1[[#This Row],[h_Item Description]],[1]!db[kode],0)))</f>
        <v/>
      </c>
      <c r="P54" s="93"/>
      <c r="Q54" s="94"/>
      <c r="S54" s="199" t="str">
        <f>Table1[[#This Row],[h_hargasetelahdiskon]]</f>
        <v/>
      </c>
      <c r="V54" s="95" t="str">
        <f ca="1">IF(Table1[[#This Row],[Item Description]]="","",IF(Table1[[#This Row],[//]]="",INDIRECT(ADDRESS(ROW()-1,COLUMN())),Table1[[#This Row],[//]]))</f>
        <v/>
      </c>
      <c r="W54" s="95" t="str">
        <f ca="1">IF(Table1[[#This Row],[h_id]]="","",COUNTIF(Table1[h_id],Table1[[#This Row],[h_id]]))</f>
        <v/>
      </c>
      <c r="X54" s="93" t="str">
        <f>IF(Table1[Item Description]="","",Table1[[#This Row],[Qty]]*Table1[[#This Row],[Unit Price]])</f>
        <v/>
      </c>
      <c r="Y54" s="93" t="str">
        <f>IF(Table1[[#This Row],[h_hargasebelumdiskon]]="","",IF(Table1[[#This Row],[Disc 1]]="",0,Table1[[#This Row],[h_hargasebelumdiskon]]*Table1[[#This Row],[Disc 1]]))</f>
        <v/>
      </c>
      <c r="Z54" s="93" t="str">
        <f>IF(Table1[[#This Row],[h_hargasebelumdiskon]]="","",IF(Table1[[#This Row],[Disc 2]]="",0,(Table1[[#This Row],[h_hargasebelumdiskon]]-Table1[[#This Row],[h_disc 1]])*Table1[[#This Row],[Disc 2]]))</f>
        <v/>
      </c>
      <c r="AA54" s="93" t="str">
        <f>IF(Table1[Item Description]="","",Table1[[#This Row],[h_disc 1]]+Table1[[#This Row],[h_disc 2]])</f>
        <v/>
      </c>
      <c r="AB54" s="93" t="str">
        <f>IF(Table1[Item Description]="","",Table1[[#This Row],[h_hargasebelumdiskon]]-Table1[[#This Row],[h_diskon]])</f>
        <v/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/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N55" s="196" t="str">
        <f>IF(Table1[[#This Row],[h_Item Description]]="","",INDEX([1]!db[NB PAJAK],MATCH(Table1[[#This Row],[h_Item Description]],[1]!db[kode],0)))</f>
        <v/>
      </c>
      <c r="P55" s="93"/>
      <c r="Q55" s="94"/>
      <c r="S55" s="199" t="str">
        <f>Table1[[#This Row],[h_hargasetelahdiskon]]</f>
        <v/>
      </c>
      <c r="V55" s="95" t="str">
        <f ca="1">IF(Table1[[#This Row],[Item Description]]="","",IF(Table1[[#This Row],[//]]="",INDIRECT(ADDRESS(ROW()-1,COLUMN())),Table1[[#This Row],[//]]))</f>
        <v/>
      </c>
      <c r="W55" s="95" t="str">
        <f ca="1">IF(Table1[[#This Row],[h_id]]="","",COUNTIF(Table1[h_id],Table1[[#This Row],[h_id]]))</f>
        <v/>
      </c>
      <c r="X55" s="93" t="str">
        <f>IF(Table1[Item Description]="","",Table1[[#This Row],[Qty]]*Table1[[#This Row],[Unit Price]])</f>
        <v/>
      </c>
      <c r="Y55" s="93" t="str">
        <f>IF(Table1[[#This Row],[h_hargasebelumdiskon]]="","",IF(Table1[[#This Row],[Disc 1]]="",0,Table1[[#This Row],[h_hargasebelumdiskon]]*Table1[[#This Row],[Disc 1]]))</f>
        <v/>
      </c>
      <c r="Z55" s="93" t="str">
        <f>IF(Table1[[#This Row],[h_hargasebelumdiskon]]="","",IF(Table1[[#This Row],[Disc 2]]="",0,(Table1[[#This Row],[h_hargasebelumdiskon]]-Table1[[#This Row],[h_disc 1]])*Table1[[#This Row],[Disc 2]]))</f>
        <v/>
      </c>
      <c r="AA55" s="93" t="str">
        <f>IF(Table1[Item Description]="","",Table1[[#This Row],[h_disc 1]]+Table1[[#This Row],[h_disc 2]])</f>
        <v/>
      </c>
      <c r="AB55" s="93" t="str">
        <f>IF(Table1[Item Description]="","",Table1[[#This Row],[h_hargasebelumdiskon]]-Table1[[#This Row],[h_diskon]])</f>
        <v/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/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 t="str">
        <f>IF(Table1[[#This Row],[No. Invoice :]]="","",ROW())</f>
        <v/>
      </c>
      <c r="B57" s="196" t="str">
        <f>IF(Table1[h_Kode Sales :_1]="","",B$1+COUNT(B$2:B56))</f>
        <v/>
      </c>
      <c r="G57" s="95" t="str">
        <f>IF(Table1[[#This Row],[h_No. Invoice :]]="","",CONCATENATE("AM"," ",Table1[[#This Row],[h_No. Invoice :]]))</f>
        <v/>
      </c>
      <c r="H57" s="96" t="str">
        <f>CONCATENATE(UPPER(Table1[[#This Row],[h_Kode Sales :_1]])," ",Table1[[#This Row],[h_Kode Sales :_2]])</f>
        <v xml:space="preserve"> </v>
      </c>
      <c r="I57" s="95" t="str">
        <f>IF(Table1[[#This Row],[h_toko]]="","",INDEX(Table2[e],IF(Table1[[#This Row],[h_toko]]="","",MATCH(Table1[[#This Row],[h_toko]],Table2[a],0)),))</f>
        <v/>
      </c>
      <c r="N57" s="196" t="str">
        <f>IF(Table1[[#This Row],[h_Item Description]]="","",INDEX([1]!db[NB PAJAK],MATCH(Table1[[#This Row],[h_Item Description]],[1]!db[kode],0)))</f>
        <v/>
      </c>
      <c r="P57" s="93"/>
      <c r="Q57" s="94"/>
      <c r="S57" s="199" t="str">
        <f>Table1[[#This Row],[h_hargasetelahdiskon]]</f>
        <v/>
      </c>
      <c r="V57" s="95" t="str">
        <f ca="1">IF(Table1[[#This Row],[Item Description]]="","",IF(Table1[[#This Row],[//]]="",INDIRECT(ADDRESS(ROW()-1,COLUMN())),Table1[[#This Row],[//]]))</f>
        <v/>
      </c>
      <c r="W57" s="95" t="str">
        <f ca="1">IF(Table1[[#This Row],[h_id]]="","",COUNTIF(Table1[h_id],Table1[[#This Row],[h_id]]))</f>
        <v/>
      </c>
      <c r="X57" s="93" t="str">
        <f>IF(Table1[Item Description]="","",Table1[[#This Row],[Qty]]*Table1[[#This Row],[Unit Price]])</f>
        <v/>
      </c>
      <c r="Y57" s="93" t="str">
        <f>IF(Table1[[#This Row],[h_hargasebelumdiskon]]="","",IF(Table1[[#This Row],[Disc 1]]="",0,Table1[[#This Row],[h_hargasebelumdiskon]]*Table1[[#This Row],[Disc 1]]))</f>
        <v/>
      </c>
      <c r="Z57" s="93" t="str">
        <f>IF(Table1[[#This Row],[h_hargasebelumdiskon]]="","",IF(Table1[[#This Row],[Disc 2]]="",0,(Table1[[#This Row],[h_hargasebelumdiskon]]-Table1[[#This Row],[h_disc 1]])*Table1[[#This Row],[Disc 2]]))</f>
        <v/>
      </c>
      <c r="AA57" s="93" t="str">
        <f>IF(Table1[Item Description]="","",Table1[[#This Row],[h_disc 1]]+Table1[[#This Row],[h_disc 2]])</f>
        <v/>
      </c>
      <c r="AB57" s="93" t="str">
        <f>IF(Table1[Item Description]="","",Table1[[#This Row],[h_hargasebelumdiskon]]-Table1[[#This Row],[h_diskon]])</f>
        <v/>
      </c>
      <c r="AC57" s="93" t="str">
        <f>IF(Table1[//]="","",SUMIF(Table1[h_id],Table1[h_id],Table1[h_hargasetelahdiskon]))</f>
        <v/>
      </c>
      <c r="AD57" s="93"/>
      <c r="AE57" s="93" t="str">
        <f>Table1[[#This Row],[Item Description]]&amp;Table1[[#This Row],[Unit]]&amp;Table1[[#This Row],[Unit Price]]</f>
        <v/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 t="str">
        <f>IF(Table1[[#This Row],[No. Invoice :]]="","",ROW())</f>
        <v/>
      </c>
      <c r="B59" s="196" t="str">
        <f>IF(Table1[h_Kode Sales :_1]="","",B$1+COUNT(B$2:B58))</f>
        <v/>
      </c>
      <c r="G59" s="95" t="str">
        <f>IF(Table1[[#This Row],[h_No. Invoice :]]="","",CONCATENATE("AM"," ",Table1[[#This Row],[h_No. Invoice :]]))</f>
        <v/>
      </c>
      <c r="H59" s="96" t="str">
        <f>CONCATENATE(UPPER(Table1[[#This Row],[h_Kode Sales :_1]])," ",Table1[[#This Row],[h_Kode Sales :_2]])</f>
        <v xml:space="preserve"> </v>
      </c>
      <c r="I59" s="95" t="str">
        <f>IF(Table1[[#This Row],[h_toko]]="","",INDEX(Table2[e],IF(Table1[[#This Row],[h_toko]]="","",MATCH(Table1[[#This Row],[h_toko]],Table2[a],0)),))</f>
        <v/>
      </c>
      <c r="N59" s="196" t="str">
        <f>IF(Table1[[#This Row],[h_Item Description]]="","",INDEX([1]!db[NB PAJAK],MATCH(Table1[[#This Row],[h_Item Description]],[1]!db[kode],0)))</f>
        <v/>
      </c>
      <c r="P59" s="93"/>
      <c r="Q59" s="94"/>
      <c r="S59" s="199" t="str">
        <f>Table1[[#This Row],[h_hargasetelahdiskon]]</f>
        <v/>
      </c>
      <c r="V59" s="95" t="str">
        <f ca="1">IF(Table1[[#This Row],[Item Description]]="","",IF(Table1[[#This Row],[//]]="",INDIRECT(ADDRESS(ROW()-1,COLUMN())),Table1[[#This Row],[//]]))</f>
        <v/>
      </c>
      <c r="W59" s="95" t="str">
        <f ca="1">IF(Table1[[#This Row],[h_id]]="","",COUNTIF(Table1[h_id],Table1[[#This Row],[h_id]]))</f>
        <v/>
      </c>
      <c r="X59" s="93" t="str">
        <f>IF(Table1[Item Description]="","",Table1[[#This Row],[Qty]]*Table1[[#This Row],[Unit Price]])</f>
        <v/>
      </c>
      <c r="Y59" s="93" t="str">
        <f>IF(Table1[[#This Row],[h_hargasebelumdiskon]]="","",IF(Table1[[#This Row],[Disc 1]]="",0,Table1[[#This Row],[h_hargasebelumdiskon]]*Table1[[#This Row],[Disc 1]]))</f>
        <v/>
      </c>
      <c r="Z59" s="93" t="str">
        <f>IF(Table1[[#This Row],[h_hargasebelumdiskon]]="","",IF(Table1[[#This Row],[Disc 2]]="",0,(Table1[[#This Row],[h_hargasebelumdiskon]]-Table1[[#This Row],[h_disc 1]])*Table1[[#This Row],[Disc 2]]))</f>
        <v/>
      </c>
      <c r="AA59" s="93" t="str">
        <f>IF(Table1[Item Description]="","",Table1[[#This Row],[h_disc 1]]+Table1[[#This Row],[h_disc 2]])</f>
        <v/>
      </c>
      <c r="AB59" s="93" t="str">
        <f>IF(Table1[Item Description]="","",Table1[[#This Row],[h_hargasebelumdiskon]]-Table1[[#This Row],[h_diskon]])</f>
        <v/>
      </c>
      <c r="AC59" s="93" t="str">
        <f>IF(Table1[//]="","",SUMIF(Table1[h_id],Table1[h_id],Table1[h_hargasetelahdiskon]))</f>
        <v/>
      </c>
      <c r="AD59" s="93"/>
      <c r="AE59" s="93" t="str">
        <f>Table1[[#This Row],[Item Description]]&amp;Table1[[#This Row],[Unit]]&amp;Table1[[#This Row],[Unit Price]]</f>
        <v/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M60" s="197"/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 t="str">
        <f>IF(Table1[[#This Row],[No. Invoice :]]="","",ROW())</f>
        <v/>
      </c>
      <c r="B61" s="196" t="str">
        <f>IF(Table1[h_Kode Sales :_1]="","",B$1+COUNT(B$2:B60))</f>
        <v/>
      </c>
      <c r="G61" s="95" t="str">
        <f>IF(Table1[[#This Row],[h_No. Invoice :]]="","",CONCATENATE("AM"," ",Table1[[#This Row],[h_No. Invoice :]]))</f>
        <v/>
      </c>
      <c r="H61" s="96" t="str">
        <f>CONCATENATE(UPPER(Table1[[#This Row],[h_Kode Sales :_1]])," ",Table1[[#This Row],[h_Kode Sales :_2]])</f>
        <v xml:space="preserve"> </v>
      </c>
      <c r="I61" s="95" t="str">
        <f>IF(Table1[[#This Row],[h_toko]]="","",INDEX(Table2[e],IF(Table1[[#This Row],[h_toko]]="","",MATCH(Table1[[#This Row],[h_toko]],Table2[a],0)),))</f>
        <v/>
      </c>
      <c r="N61" s="196" t="str">
        <f>IF(Table1[[#This Row],[h_Item Description]]="","",INDEX([1]!db[NB PAJAK],MATCH(Table1[[#This Row],[h_Item Description]],[1]!db[kode],0)))</f>
        <v/>
      </c>
      <c r="P61" s="93"/>
      <c r="Q61" s="94"/>
      <c r="S61" s="199" t="str">
        <f>Table1[[#This Row],[h_hargasetelahdiskon]]</f>
        <v/>
      </c>
      <c r="V61" s="95" t="str">
        <f ca="1">IF(Table1[[#This Row],[Item Description]]="","",IF(Table1[[#This Row],[//]]="",INDIRECT(ADDRESS(ROW()-1,COLUMN())),Table1[[#This Row],[//]]))</f>
        <v/>
      </c>
      <c r="W61" s="95" t="str">
        <f ca="1">IF(Table1[[#This Row],[h_id]]="","",COUNTIF(Table1[h_id],Table1[[#This Row],[h_id]]))</f>
        <v/>
      </c>
      <c r="X61" s="93" t="str">
        <f>IF(Table1[Item Description]="","",Table1[[#This Row],[Qty]]*Table1[[#This Row],[Unit Price]])</f>
        <v/>
      </c>
      <c r="Y61" s="93" t="str">
        <f>IF(Table1[[#This Row],[h_hargasebelumdiskon]]="","",IF(Table1[[#This Row],[Disc 1]]="",0,Table1[[#This Row],[h_hargasebelumdiskon]]*Table1[[#This Row],[Disc 1]]))</f>
        <v/>
      </c>
      <c r="Z61" s="93" t="str">
        <f>IF(Table1[[#This Row],[h_hargasebelumdiskon]]="","",IF(Table1[[#This Row],[Disc 2]]="",0,(Table1[[#This Row],[h_hargasebelumdiskon]]-Table1[[#This Row],[h_disc 1]])*Table1[[#This Row],[Disc 2]]))</f>
        <v/>
      </c>
      <c r="AA61" s="93" t="str">
        <f>IF(Table1[Item Description]="","",Table1[[#This Row],[h_disc 1]]+Table1[[#This Row],[h_disc 2]])</f>
        <v/>
      </c>
      <c r="AB61" s="93" t="str">
        <f>IF(Table1[Item Description]="","",Table1[[#This Row],[h_hargasebelumdiskon]]-Table1[[#This Row],[h_diskon]])</f>
        <v/>
      </c>
      <c r="AC61" s="93" t="str">
        <f>IF(Table1[//]="","",SUMIF(Table1[h_id],Table1[h_id],Table1[h_hargasetelahdiskon]))</f>
        <v/>
      </c>
      <c r="AD61" s="93"/>
      <c r="AE61" s="93" t="str">
        <f>Table1[[#This Row],[Item Description]]&amp;Table1[[#This Row],[Unit]]&amp;Table1[[#This Row],[Unit Price]]</f>
        <v/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M62" s="197"/>
      <c r="N62" s="196" t="str">
        <f>IF(Table1[[#This Row],[h_Item Description]]="","",INDEX([1]!db[NB PAJAK],MATCH(Table1[[#This Row],[h_Item Description]],[1]!db[kode],0)))</f>
        <v/>
      </c>
      <c r="P62" s="93"/>
      <c r="Q62" s="94"/>
      <c r="S62" s="199" t="str">
        <f>Table1[[#This Row],[h_hargasetelahdiskon]]</f>
        <v/>
      </c>
      <c r="V62" s="95" t="str">
        <f ca="1">IF(Table1[[#This Row],[Item Description]]="","",IF(Table1[[#This Row],[//]]="",INDIRECT(ADDRESS(ROW()-1,COLUMN())),Table1[[#This Row],[//]]))</f>
        <v/>
      </c>
      <c r="W62" s="95" t="str">
        <f ca="1">IF(Table1[[#This Row],[h_id]]="","",COUNTIF(Table1[h_id],Table1[[#This Row],[h_id]]))</f>
        <v/>
      </c>
      <c r="X62" s="93" t="str">
        <f>IF(Table1[Item Description]="","",Table1[[#This Row],[Qty]]*Table1[[#This Row],[Unit Price]])</f>
        <v/>
      </c>
      <c r="Y62" s="93" t="str">
        <f>IF(Table1[[#This Row],[h_hargasebelumdiskon]]="","",IF(Table1[[#This Row],[Disc 1]]="",0,Table1[[#This Row],[h_hargasebelumdiskon]]*Table1[[#This Row],[Disc 1]]))</f>
        <v/>
      </c>
      <c r="Z62" s="93" t="str">
        <f>IF(Table1[[#This Row],[h_hargasebelumdiskon]]="","",IF(Table1[[#This Row],[Disc 2]]="",0,(Table1[[#This Row],[h_hargasebelumdiskon]]-Table1[[#This Row],[h_disc 1]])*Table1[[#This Row],[Disc 2]]))</f>
        <v/>
      </c>
      <c r="AA62" s="93" t="str">
        <f>IF(Table1[Item Description]="","",Table1[[#This Row],[h_disc 1]]+Table1[[#This Row],[h_disc 2]])</f>
        <v/>
      </c>
      <c r="AB62" s="93" t="str">
        <f>IF(Table1[Item Description]="","",Table1[[#This Row],[h_hargasebelumdiskon]]-Table1[[#This Row],[h_diskon]])</f>
        <v/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/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N63" s="196" t="str">
        <f>IF(Table1[[#This Row],[h_Item Description]]="","",INDEX([1]!db[NB PAJAK],MATCH(Table1[[#This Row],[h_Item Description]],[1]!db[kode],0)))</f>
        <v/>
      </c>
      <c r="P63" s="93"/>
      <c r="Q63" s="94"/>
      <c r="S63" s="199" t="str">
        <f>Table1[[#This Row],[h_hargasetelahdiskon]]</f>
        <v/>
      </c>
      <c r="V63" s="95" t="str">
        <f ca="1">IF(Table1[[#This Row],[Item Description]]="","",IF(Table1[[#This Row],[//]]="",INDIRECT(ADDRESS(ROW()-1,COLUMN())),Table1[[#This Row],[//]]))</f>
        <v/>
      </c>
      <c r="W63" s="95" t="str">
        <f ca="1">IF(Table1[[#This Row],[h_id]]="","",COUNTIF(Table1[h_id],Table1[[#This Row],[h_id]]))</f>
        <v/>
      </c>
      <c r="X63" s="93" t="str">
        <f>IF(Table1[Item Description]="","",Table1[[#This Row],[Qty]]*Table1[[#This Row],[Unit Price]])</f>
        <v/>
      </c>
      <c r="Y63" s="93" t="str">
        <f>IF(Table1[[#This Row],[h_hargasebelumdiskon]]="","",IF(Table1[[#This Row],[Disc 1]]="",0,Table1[[#This Row],[h_hargasebelumdiskon]]*Table1[[#This Row],[Disc 1]]))</f>
        <v/>
      </c>
      <c r="Z63" s="93" t="str">
        <f>IF(Table1[[#This Row],[h_hargasebelumdiskon]]="","",IF(Table1[[#This Row],[Disc 2]]="",0,(Table1[[#This Row],[h_hargasebelumdiskon]]-Table1[[#This Row],[h_disc 1]])*Table1[[#This Row],[Disc 2]]))</f>
        <v/>
      </c>
      <c r="AA63" s="93" t="str">
        <f>IF(Table1[Item Description]="","",Table1[[#This Row],[h_disc 1]]+Table1[[#This Row],[h_disc 2]])</f>
        <v/>
      </c>
      <c r="AB63" s="93" t="str">
        <f>IF(Table1[Item Description]="","",Table1[[#This Row],[h_hargasebelumdiskon]]-Table1[[#This Row],[h_diskon]])</f>
        <v/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/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x14ac:dyDescent="0.25">
      <c r="A65" s="95" t="str">
        <f>IF(Table1[[#This Row],[No. Invoice :]]="","",ROW())</f>
        <v/>
      </c>
      <c r="B65" s="196" t="str">
        <f>IF(Table1[h_Kode Sales :_1]="","",B$1+COUNT(B$2:B64))</f>
        <v/>
      </c>
      <c r="D65" s="197"/>
      <c r="E65" s="198"/>
      <c r="F65" s="197"/>
      <c r="G65" s="95" t="str">
        <f>IF(Table1[[#This Row],[h_No. Invoice :]]="","",CONCATENATE("AM"," ",Table1[[#This Row],[h_No. Invoice :]]))</f>
        <v/>
      </c>
      <c r="H65" s="96" t="str">
        <f>CONCATENATE(UPPER(Table1[[#This Row],[h_Kode Sales :_1]])," ",Table1[[#This Row],[h_Kode Sales :_2]])</f>
        <v xml:space="preserve"> </v>
      </c>
      <c r="I65" s="95" t="str">
        <f>IF(Table1[[#This Row],[h_toko]]="","",INDEX(Table2[e],IF(Table1[[#This Row],[h_toko]]="","",MATCH(Table1[[#This Row],[h_toko]],Table2[a],0)),))</f>
        <v/>
      </c>
      <c r="M65" s="197"/>
      <c r="N65" s="196" t="str">
        <f>IF(Table1[[#This Row],[h_Item Description]]="","",INDEX([1]!db[NB PAJAK],MATCH(Table1[[#This Row],[h_Item Description]],[1]!db[kode],0)))</f>
        <v/>
      </c>
      <c r="P65" s="93"/>
      <c r="Q65" s="94"/>
      <c r="S65" s="199" t="str">
        <f>Table1[[#This Row],[h_hargasetelahdiskon]]</f>
        <v/>
      </c>
      <c r="V65" s="95" t="str">
        <f ca="1">IF(Table1[[#This Row],[Item Description]]="","",IF(Table1[[#This Row],[//]]="",INDIRECT(ADDRESS(ROW()-1,COLUMN())),Table1[[#This Row],[//]]))</f>
        <v/>
      </c>
      <c r="W65" s="95" t="str">
        <f ca="1">IF(Table1[[#This Row],[h_id]]="","",COUNTIF(Table1[h_id],Table1[[#This Row],[h_id]]))</f>
        <v/>
      </c>
      <c r="X65" s="93" t="str">
        <f>IF(Table1[Item Description]="","",Table1[[#This Row],[Qty]]*Table1[[#This Row],[Unit Price]])</f>
        <v/>
      </c>
      <c r="Y65" s="93" t="str">
        <f>IF(Table1[[#This Row],[h_hargasebelumdiskon]]="","",IF(Table1[[#This Row],[Disc 1]]="",0,Table1[[#This Row],[h_hargasebelumdiskon]]*Table1[[#This Row],[Disc 1]]))</f>
        <v/>
      </c>
      <c r="Z65" s="93" t="str">
        <f>IF(Table1[[#This Row],[h_hargasebelumdiskon]]="","",IF(Table1[[#This Row],[Disc 2]]="",0,(Table1[[#This Row],[h_hargasebelumdiskon]]-Table1[[#This Row],[h_disc 1]])*Table1[[#This Row],[Disc 2]]))</f>
        <v/>
      </c>
      <c r="AA65" s="93" t="str">
        <f>IF(Table1[Item Description]="","",Table1[[#This Row],[h_disc 1]]+Table1[[#This Row],[h_disc 2]])</f>
        <v/>
      </c>
      <c r="AB65" s="93" t="str">
        <f>IF(Table1[Item Description]="","",Table1[[#This Row],[h_hargasebelumdiskon]]-Table1[[#This Row],[h_diskon]])</f>
        <v/>
      </c>
      <c r="AC65" s="93" t="str">
        <f>IF(Table1[//]="","",SUMIF(Table1[h_id],Table1[h_id],Table1[h_hargasetelahdiskon]))</f>
        <v/>
      </c>
      <c r="AD65" s="93"/>
      <c r="AE65" s="93" t="str">
        <f>Table1[[#This Row],[Item Description]]&amp;Table1[[#This Row],[Unit]]&amp;Table1[[#This Row],[Unit Price]]</f>
        <v/>
      </c>
    </row>
    <row r="66" spans="1:31" x14ac:dyDescent="0.25">
      <c r="A66" s="95" t="str">
        <f>IF(Table1[[#This Row],[No. Invoice :]]="","",ROW())</f>
        <v/>
      </c>
      <c r="B66" s="196" t="str">
        <f>IF(Table1[h_Kode Sales :_1]="","",B$1+COUNT(B$2:B65))</f>
        <v/>
      </c>
      <c r="D66" s="197"/>
      <c r="E66" s="198"/>
      <c r="F66" s="197"/>
      <c r="G66" s="95" t="str">
        <f>IF(Table1[[#This Row],[h_No. Invoice :]]="","",CONCATENATE("AM"," ",Table1[[#This Row],[h_No. Invoice :]]))</f>
        <v/>
      </c>
      <c r="H66" s="96" t="str">
        <f>CONCATENATE(UPPER(Table1[[#This Row],[h_Kode Sales :_1]])," ",Table1[[#This Row],[h_Kode Sales :_2]])</f>
        <v xml:space="preserve"> </v>
      </c>
      <c r="I66" s="95" t="str">
        <f>IF(Table1[[#This Row],[h_toko]]="","",INDEX(Table2[e],IF(Table1[[#This Row],[h_toko]]="","",MATCH(Table1[[#This Row],[h_toko]],Table2[a],0)),))</f>
        <v/>
      </c>
      <c r="N66" s="196" t="str">
        <f>IF(Table1[[#This Row],[h_Item Description]]="","",INDEX([1]!db[NB PAJAK],MATCH(Table1[[#This Row],[h_Item Description]],[1]!db[kode],0)))</f>
        <v/>
      </c>
      <c r="P66" s="93"/>
      <c r="Q66" s="94"/>
      <c r="S66" s="199" t="str">
        <f>Table1[[#This Row],[h_hargasetelahdiskon]]</f>
        <v/>
      </c>
      <c r="V66" s="95" t="str">
        <f ca="1">IF(Table1[[#This Row],[Item Description]]="","",IF(Table1[[#This Row],[//]]="",INDIRECT(ADDRESS(ROW()-1,COLUMN())),Table1[[#This Row],[//]]))</f>
        <v/>
      </c>
      <c r="W66" s="95" t="str">
        <f ca="1">IF(Table1[[#This Row],[h_id]]="","",COUNTIF(Table1[h_id],Table1[[#This Row],[h_id]]))</f>
        <v/>
      </c>
      <c r="X66" s="93" t="str">
        <f>IF(Table1[Item Description]="","",Table1[[#This Row],[Qty]]*Table1[[#This Row],[Unit Price]])</f>
        <v/>
      </c>
      <c r="Y66" s="93" t="str">
        <f>IF(Table1[[#This Row],[h_hargasebelumdiskon]]="","",IF(Table1[[#This Row],[Disc 1]]="",0,Table1[[#This Row],[h_hargasebelumdiskon]]*Table1[[#This Row],[Disc 1]]))</f>
        <v/>
      </c>
      <c r="Z66" s="93" t="str">
        <f>IF(Table1[[#This Row],[h_hargasebelumdiskon]]="","",IF(Table1[[#This Row],[Disc 2]]="",0,(Table1[[#This Row],[h_hargasebelumdiskon]]-Table1[[#This Row],[h_disc 1]])*Table1[[#This Row],[Disc 2]]))</f>
        <v/>
      </c>
      <c r="AA66" s="93" t="str">
        <f>IF(Table1[Item Description]="","",Table1[[#This Row],[h_disc 1]]+Table1[[#This Row],[h_disc 2]])</f>
        <v/>
      </c>
      <c r="AB66" s="93" t="str">
        <f>IF(Table1[Item Description]="","",Table1[[#This Row],[h_hargasebelumdiskon]]-Table1[[#This Row],[h_diskon]])</f>
        <v/>
      </c>
      <c r="AC66" s="93" t="str">
        <f>IF(Table1[//]="","",SUMIF(Table1[h_id],Table1[h_id],Table1[h_hargasetelahdiskon]))</f>
        <v/>
      </c>
      <c r="AD66" s="93"/>
      <c r="AE66" s="93" t="str">
        <f>Table1[[#This Row],[Item Description]]&amp;Table1[[#This Row],[Unit]]&amp;Table1[[#This Row],[Unit Price]]</f>
        <v/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 t="str">
        <f>IF(Table1[[#This Row],[h_No. Invoice :]]="","",CONCATENATE("AM"," ",Table1[[#This Row],[h_No. Invoice :]]))</f>
        <v/>
      </c>
      <c r="H67" s="96" t="str">
        <f>CONCATENATE(UPPER(Table1[[#This Row],[h_Kode Sales :_1]])," ",Table1[[#This Row],[h_Kode Sales :_2]])</f>
        <v xml:space="preserve"> </v>
      </c>
      <c r="I67" s="95" t="str">
        <f>IF(Table1[[#This Row],[h_toko]]="","",INDEX(Table2[e],IF(Table1[[#This Row],[h_toko]]="","",MATCH(Table1[[#This Row],[h_toko]],Table2[a],0)),))</f>
        <v/>
      </c>
      <c r="N67" s="95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 t="str">
        <f>IF(Table1[[#This Row],[No. Invoice :]]="","",ROW())</f>
        <v/>
      </c>
      <c r="B68" s="196" t="str">
        <f>IF(Table1[h_Kode Sales :_1]="","",B$1+COUNT(B$2:B67))</f>
        <v/>
      </c>
      <c r="D68" s="197"/>
      <c r="E68" s="198"/>
      <c r="F68" s="197"/>
      <c r="G68" s="95" t="str">
        <f>IF(Table1[[#This Row],[h_No. Invoice :]]="","",CONCATENATE("AM"," ",Table1[[#This Row],[h_No. Invoice :]]))</f>
        <v/>
      </c>
      <c r="H68" s="96" t="str">
        <f>CONCATENATE(UPPER(Table1[[#This Row],[h_Kode Sales :_1]])," ",Table1[[#This Row],[h_Kode Sales :_2]])</f>
        <v xml:space="preserve"> </v>
      </c>
      <c r="I68" s="95" t="str">
        <f>IF(Table1[[#This Row],[h_toko]]="","",INDEX(Table2[e],IF(Table1[[#This Row],[h_toko]]="","",MATCH(Table1[[#This Row],[h_toko]],Table2[a],0)),))</f>
        <v/>
      </c>
      <c r="N68" s="196" t="str">
        <f>IF(Table1[[#This Row],[h_Item Description]]="","",INDEX([1]!db[NB PAJAK],MATCH(Table1[[#This Row],[h_Item Description]],[1]!db[kode],0)))</f>
        <v/>
      </c>
      <c r="P68" s="93"/>
      <c r="Q68" s="94"/>
      <c r="S68" s="199" t="str">
        <f>Table1[[#This Row],[h_hargasetelahdiskon]]</f>
        <v/>
      </c>
      <c r="V68" s="95" t="str">
        <f ca="1">IF(Table1[[#This Row],[Item Description]]="","",IF(Table1[[#This Row],[//]]="",INDIRECT(ADDRESS(ROW()-1,COLUMN())),Table1[[#This Row],[//]]))</f>
        <v/>
      </c>
      <c r="W68" s="95" t="str">
        <f ca="1">IF(Table1[[#This Row],[h_id]]="","",COUNTIF(Table1[h_id],Table1[[#This Row],[h_id]]))</f>
        <v/>
      </c>
      <c r="X68" s="93" t="str">
        <f>IF(Table1[Item Description]="","",Table1[[#This Row],[Qty]]*Table1[[#This Row],[Unit Price]])</f>
        <v/>
      </c>
      <c r="Y68" s="93" t="str">
        <f>IF(Table1[[#This Row],[h_hargasebelumdiskon]]="","",IF(Table1[[#This Row],[Disc 1]]="",0,Table1[[#This Row],[h_hargasebelumdiskon]]*Table1[[#This Row],[Disc 1]]))</f>
        <v/>
      </c>
      <c r="Z68" s="93" t="str">
        <f>IF(Table1[[#This Row],[h_hargasebelumdiskon]]="","",IF(Table1[[#This Row],[Disc 2]]="",0,(Table1[[#This Row],[h_hargasebelumdiskon]]-Table1[[#This Row],[h_disc 1]])*Table1[[#This Row],[Disc 2]]))</f>
        <v/>
      </c>
      <c r="AA68" s="93" t="str">
        <f>IF(Table1[Item Description]="","",Table1[[#This Row],[h_disc 1]]+Table1[[#This Row],[h_disc 2]])</f>
        <v/>
      </c>
      <c r="AB68" s="93" t="str">
        <f>IF(Table1[Item Description]="","",Table1[[#This Row],[h_hargasebelumdiskon]]-Table1[[#This Row],[h_diskon]])</f>
        <v/>
      </c>
      <c r="AC68" s="93" t="str">
        <f>IF(Table1[//]="","",SUMIF(Table1[h_id],Table1[h_id],Table1[h_hargasetelahdiskon]))</f>
        <v/>
      </c>
      <c r="AD68" s="93"/>
      <c r="AE68" s="93" t="str">
        <f>Table1[[#This Row],[Item Description]]&amp;Table1[[#This Row],[Unit]]&amp;Table1[[#This Row],[Unit Price]]</f>
        <v/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N69" s="196" t="str">
        <f>IF(Table1[[#This Row],[h_Item Description]]="","",INDEX([1]!db[NB PAJAK],MATCH(Table1[[#This Row],[h_Item Description]],[1]!db[kode],0)))</f>
        <v/>
      </c>
      <c r="P69" s="93"/>
      <c r="Q69" s="94"/>
      <c r="S69" s="199" t="str">
        <f>Table1[[#This Row],[h_hargasetelahdiskon]]</f>
        <v/>
      </c>
      <c r="V69" s="95" t="str">
        <f ca="1">IF(Table1[[#This Row],[Item Description]]="","",IF(Table1[[#This Row],[//]]="",INDIRECT(ADDRESS(ROW()-1,COLUMN())),Table1[[#This Row],[//]]))</f>
        <v/>
      </c>
      <c r="W69" s="95" t="str">
        <f ca="1">IF(Table1[[#This Row],[h_id]]="","",COUNTIF(Table1[h_id],Table1[[#This Row],[h_id]]))</f>
        <v/>
      </c>
      <c r="X69" s="93" t="str">
        <f>IF(Table1[Item Description]="","",Table1[[#This Row],[Qty]]*Table1[[#This Row],[Unit Price]])</f>
        <v/>
      </c>
      <c r="Y69" s="93" t="str">
        <f>IF(Table1[[#This Row],[h_hargasebelumdiskon]]="","",IF(Table1[[#This Row],[Disc 1]]="",0,Table1[[#This Row],[h_hargasebelumdiskon]]*Table1[[#This Row],[Disc 1]]))</f>
        <v/>
      </c>
      <c r="Z69" s="93" t="str">
        <f>IF(Table1[[#This Row],[h_hargasebelumdiskon]]="","",IF(Table1[[#This Row],[Disc 2]]="",0,(Table1[[#This Row],[h_hargasebelumdiskon]]-Table1[[#This Row],[h_disc 1]])*Table1[[#This Row],[Disc 2]]))</f>
        <v/>
      </c>
      <c r="AA69" s="93" t="str">
        <f>IF(Table1[Item Description]="","",Table1[[#This Row],[h_disc 1]]+Table1[[#This Row],[h_disc 2]])</f>
        <v/>
      </c>
      <c r="AB69" s="93" t="str">
        <f>IF(Table1[Item Description]="","",Table1[[#This Row],[h_hargasebelumdiskon]]-Table1[[#This Row],[h_diskon]])</f>
        <v/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/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N70" s="196" t="str">
        <f>IF(Table1[[#This Row],[h_Item Description]]="","",INDEX([1]!db[NB PAJAK],MATCH(Table1[[#This Row],[h_Item Description]],[1]!db[kode],0)))</f>
        <v/>
      </c>
      <c r="P70" s="93"/>
      <c r="Q70" s="94"/>
      <c r="S70" s="199" t="str">
        <f>Table1[[#This Row],[h_hargasetelahdiskon]]</f>
        <v/>
      </c>
      <c r="V70" s="95" t="str">
        <f ca="1">IF(Table1[[#This Row],[Item Description]]="","",IF(Table1[[#This Row],[//]]="",INDIRECT(ADDRESS(ROW()-1,COLUMN())),Table1[[#This Row],[//]]))</f>
        <v/>
      </c>
      <c r="W70" s="95" t="str">
        <f ca="1">IF(Table1[[#This Row],[h_id]]="","",COUNTIF(Table1[h_id],Table1[[#This Row],[h_id]]))</f>
        <v/>
      </c>
      <c r="X70" s="93" t="str">
        <f>IF(Table1[Item Description]="","",Table1[[#This Row],[Qty]]*Table1[[#This Row],[Unit Price]])</f>
        <v/>
      </c>
      <c r="Y70" s="93" t="str">
        <f>IF(Table1[[#This Row],[h_hargasebelumdiskon]]="","",IF(Table1[[#This Row],[Disc 1]]="",0,Table1[[#This Row],[h_hargasebelumdiskon]]*Table1[[#This Row],[Disc 1]]))</f>
        <v/>
      </c>
      <c r="Z70" s="93" t="str">
        <f>IF(Table1[[#This Row],[h_hargasebelumdiskon]]="","",IF(Table1[[#This Row],[Disc 2]]="",0,(Table1[[#This Row],[h_hargasebelumdiskon]]-Table1[[#This Row],[h_disc 1]])*Table1[[#This Row],[Disc 2]]))</f>
        <v/>
      </c>
      <c r="AA70" s="93" t="str">
        <f>IF(Table1[Item Description]="","",Table1[[#This Row],[h_disc 1]]+Table1[[#This Row],[h_disc 2]])</f>
        <v/>
      </c>
      <c r="AB70" s="93" t="str">
        <f>IF(Table1[Item Description]="","",Table1[[#This Row],[h_hargasebelumdiskon]]-Table1[[#This Row],[h_diskon]])</f>
        <v/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/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N71" s="196" t="str">
        <f>IF(Table1[[#This Row],[h_Item Description]]="","",INDEX([1]!db[NB PAJAK],MATCH(Table1[[#This Row],[h_Item Description]],[1]!db[kode],0)))</f>
        <v/>
      </c>
      <c r="P71" s="93"/>
      <c r="Q71" s="94"/>
      <c r="S71" s="199" t="str">
        <f>Table1[[#This Row],[h_hargasetelahdiskon]]</f>
        <v/>
      </c>
      <c r="V71" s="95" t="str">
        <f ca="1">IF(Table1[[#This Row],[Item Description]]="","",IF(Table1[[#This Row],[//]]="",INDIRECT(ADDRESS(ROW()-1,COLUMN())),Table1[[#This Row],[//]]))</f>
        <v/>
      </c>
      <c r="W71" s="95" t="str">
        <f ca="1">IF(Table1[[#This Row],[h_id]]="","",COUNTIF(Table1[h_id],Table1[[#This Row],[h_id]]))</f>
        <v/>
      </c>
      <c r="X71" s="93" t="str">
        <f>IF(Table1[Item Description]="","",Table1[[#This Row],[Qty]]*Table1[[#This Row],[Unit Price]])</f>
        <v/>
      </c>
      <c r="Y71" s="93" t="str">
        <f>IF(Table1[[#This Row],[h_hargasebelumdiskon]]="","",IF(Table1[[#This Row],[Disc 1]]="",0,Table1[[#This Row],[h_hargasebelumdiskon]]*Table1[[#This Row],[Disc 1]]))</f>
        <v/>
      </c>
      <c r="Z71" s="93" t="str">
        <f>IF(Table1[[#This Row],[h_hargasebelumdiskon]]="","",IF(Table1[[#This Row],[Disc 2]]="",0,(Table1[[#This Row],[h_hargasebelumdiskon]]-Table1[[#This Row],[h_disc 1]])*Table1[[#This Row],[Disc 2]]))</f>
        <v/>
      </c>
      <c r="AA71" s="93" t="str">
        <f>IF(Table1[Item Description]="","",Table1[[#This Row],[h_disc 1]]+Table1[[#This Row],[h_disc 2]])</f>
        <v/>
      </c>
      <c r="AB71" s="93" t="str">
        <f>IF(Table1[Item Description]="","",Table1[[#This Row],[h_hargasebelumdiskon]]-Table1[[#This Row],[h_diskon]])</f>
        <v/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/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N72" s="196" t="str">
        <f>IF(Table1[[#This Row],[h_Item Description]]="","",INDEX([1]!db[NB PAJAK],MATCH(Table1[[#This Row],[h_Item Description]],[1]!db[kode],0)))</f>
        <v/>
      </c>
      <c r="P72" s="93"/>
      <c r="Q72" s="94"/>
      <c r="S72" s="199" t="str">
        <f>Table1[[#This Row],[h_hargasetelahdiskon]]</f>
        <v/>
      </c>
      <c r="V72" s="95" t="str">
        <f ca="1">IF(Table1[[#This Row],[Item Description]]="","",IF(Table1[[#This Row],[//]]="",INDIRECT(ADDRESS(ROW()-1,COLUMN())),Table1[[#This Row],[//]]))</f>
        <v/>
      </c>
      <c r="W72" s="95" t="str">
        <f ca="1">IF(Table1[[#This Row],[h_id]]="","",COUNTIF(Table1[h_id],Table1[[#This Row],[h_id]]))</f>
        <v/>
      </c>
      <c r="X72" s="93" t="str">
        <f>IF(Table1[Item Description]="","",Table1[[#This Row],[Qty]]*Table1[[#This Row],[Unit Price]])</f>
        <v/>
      </c>
      <c r="Y72" s="93" t="str">
        <f>IF(Table1[[#This Row],[h_hargasebelumdiskon]]="","",IF(Table1[[#This Row],[Disc 1]]="",0,Table1[[#This Row],[h_hargasebelumdiskon]]*Table1[[#This Row],[Disc 1]]))</f>
        <v/>
      </c>
      <c r="Z72" s="93" t="str">
        <f>IF(Table1[[#This Row],[h_hargasebelumdiskon]]="","",IF(Table1[[#This Row],[Disc 2]]="",0,(Table1[[#This Row],[h_hargasebelumdiskon]]-Table1[[#This Row],[h_disc 1]])*Table1[[#This Row],[Disc 2]]))</f>
        <v/>
      </c>
      <c r="AA72" s="93" t="str">
        <f>IF(Table1[Item Description]="","",Table1[[#This Row],[h_disc 1]]+Table1[[#This Row],[h_disc 2]])</f>
        <v/>
      </c>
      <c r="AB72" s="93" t="str">
        <f>IF(Table1[Item Description]="","",Table1[[#This Row],[h_hargasebelumdiskon]]-Table1[[#This Row],[h_diskon]])</f>
        <v/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/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D73" s="197"/>
      <c r="E73" s="198"/>
      <c r="F73" s="197"/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N73" s="196" t="str">
        <f>IF(Table1[[#This Row],[h_Item Description]]="","",INDEX([1]!db[NB PAJAK],MATCH(Table1[[#This Row],[h_Item Description]],[1]!db[kode],0)))</f>
        <v/>
      </c>
      <c r="P73" s="93"/>
      <c r="Q73" s="94"/>
      <c r="S73" s="199" t="str">
        <f>Table1[[#This Row],[h_hargasetelahdiskon]]</f>
        <v/>
      </c>
      <c r="V73" s="95" t="str">
        <f ca="1">IF(Table1[[#This Row],[Item Description]]="","",IF(Table1[[#This Row],[//]]="",INDIRECT(ADDRESS(ROW()-1,COLUMN())),Table1[[#This Row],[//]]))</f>
        <v/>
      </c>
      <c r="W73" s="95" t="str">
        <f ca="1">IF(Table1[[#This Row],[h_id]]="","",COUNTIF(Table1[h_id],Table1[[#This Row],[h_id]]))</f>
        <v/>
      </c>
      <c r="X73" s="93" t="str">
        <f>IF(Table1[Item Description]="","",Table1[[#This Row],[Qty]]*Table1[[#This Row],[Unit Price]])</f>
        <v/>
      </c>
      <c r="Y73" s="93" t="str">
        <f>IF(Table1[[#This Row],[h_hargasebelumdiskon]]="","",IF(Table1[[#This Row],[Disc 1]]="",0,Table1[[#This Row],[h_hargasebelumdiskon]]*Table1[[#This Row],[Disc 1]]))</f>
        <v/>
      </c>
      <c r="Z73" s="93" t="str">
        <f>IF(Table1[[#This Row],[h_hargasebelumdiskon]]="","",IF(Table1[[#This Row],[Disc 2]]="",0,(Table1[[#This Row],[h_hargasebelumdiskon]]-Table1[[#This Row],[h_disc 1]])*Table1[[#This Row],[Disc 2]]))</f>
        <v/>
      </c>
      <c r="AA73" s="93" t="str">
        <f>IF(Table1[Item Description]="","",Table1[[#This Row],[h_disc 1]]+Table1[[#This Row],[h_disc 2]])</f>
        <v/>
      </c>
      <c r="AB73" s="93" t="str">
        <f>IF(Table1[Item Description]="","",Table1[[#This Row],[h_hargasebelumdiskon]]-Table1[[#This Row],[h_diskon]])</f>
        <v/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/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N74" s="196" t="str">
        <f>IF(Table1[[#This Row],[h_Item Description]]="","",INDEX([1]!db[NB PAJAK],MATCH(Table1[[#This Row],[h_Item Description]],[1]!db[kode],0)))</f>
        <v/>
      </c>
      <c r="P74" s="93"/>
      <c r="Q74" s="94"/>
      <c r="S74" s="199" t="str">
        <f>Table1[[#This Row],[h_hargasetelahdiskon]]</f>
        <v/>
      </c>
      <c r="V74" s="95" t="str">
        <f ca="1">IF(Table1[[#This Row],[Item Description]]="","",IF(Table1[[#This Row],[//]]="",INDIRECT(ADDRESS(ROW()-1,COLUMN())),Table1[[#This Row],[//]]))</f>
        <v/>
      </c>
      <c r="W74" s="95" t="str">
        <f ca="1">IF(Table1[[#This Row],[h_id]]="","",COUNTIF(Table1[h_id],Table1[[#This Row],[h_id]]))</f>
        <v/>
      </c>
      <c r="X74" s="93" t="str">
        <f>IF(Table1[Item Description]="","",Table1[[#This Row],[Qty]]*Table1[[#This Row],[Unit Price]])</f>
        <v/>
      </c>
      <c r="Y74" s="93" t="str">
        <f>IF(Table1[[#This Row],[h_hargasebelumdiskon]]="","",IF(Table1[[#This Row],[Disc 1]]="",0,Table1[[#This Row],[h_hargasebelumdiskon]]*Table1[[#This Row],[Disc 1]]))</f>
        <v/>
      </c>
      <c r="Z74" s="93" t="str">
        <f>IF(Table1[[#This Row],[h_hargasebelumdiskon]]="","",IF(Table1[[#This Row],[Disc 2]]="",0,(Table1[[#This Row],[h_hargasebelumdiskon]]-Table1[[#This Row],[h_disc 1]])*Table1[[#This Row],[Disc 2]]))</f>
        <v/>
      </c>
      <c r="AA74" s="93" t="str">
        <f>IF(Table1[Item Description]="","",Table1[[#This Row],[h_disc 1]]+Table1[[#This Row],[h_disc 2]])</f>
        <v/>
      </c>
      <c r="AB74" s="93" t="str">
        <f>IF(Table1[Item Description]="","",Table1[[#This Row],[h_hargasebelumdiskon]]-Table1[[#This Row],[h_diskon]])</f>
        <v/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/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N75" s="196" t="str">
        <f>IF(Table1[[#This Row],[h_Item Description]]="","",INDEX([1]!db[NB PAJAK],MATCH(Table1[[#This Row],[h_Item Description]],[1]!db[kode],0)))</f>
        <v/>
      </c>
      <c r="P75" s="93"/>
      <c r="Q75" s="94"/>
      <c r="S75" s="199" t="str">
        <f>Table1[[#This Row],[h_hargasetelahdiskon]]</f>
        <v/>
      </c>
      <c r="V75" s="95" t="str">
        <f ca="1">IF(Table1[[#This Row],[Item Description]]="","",IF(Table1[[#This Row],[//]]="",INDIRECT(ADDRESS(ROW()-1,COLUMN())),Table1[[#This Row],[//]]))</f>
        <v/>
      </c>
      <c r="W75" s="95" t="str">
        <f ca="1">IF(Table1[[#This Row],[h_id]]="","",COUNTIF(Table1[h_id],Table1[[#This Row],[h_id]]))</f>
        <v/>
      </c>
      <c r="X75" s="93" t="str">
        <f>IF(Table1[Item Description]="","",Table1[[#This Row],[Qty]]*Table1[[#This Row],[Unit Price]])</f>
        <v/>
      </c>
      <c r="Y75" s="93" t="str">
        <f>IF(Table1[[#This Row],[h_hargasebelumdiskon]]="","",IF(Table1[[#This Row],[Disc 1]]="",0,Table1[[#This Row],[h_hargasebelumdiskon]]*Table1[[#This Row],[Disc 1]]))</f>
        <v/>
      </c>
      <c r="Z75" s="93" t="str">
        <f>IF(Table1[[#This Row],[h_hargasebelumdiskon]]="","",IF(Table1[[#This Row],[Disc 2]]="",0,(Table1[[#This Row],[h_hargasebelumdiskon]]-Table1[[#This Row],[h_disc 1]])*Table1[[#This Row],[Disc 2]]))</f>
        <v/>
      </c>
      <c r="AA75" s="93" t="str">
        <f>IF(Table1[Item Description]="","",Table1[[#This Row],[h_disc 1]]+Table1[[#This Row],[h_disc 2]])</f>
        <v/>
      </c>
      <c r="AB75" s="93" t="str">
        <f>IF(Table1[Item Description]="","",Table1[[#This Row],[h_hargasebelumdiskon]]-Table1[[#This Row],[h_diskon]])</f>
        <v/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/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N76" s="196" t="str">
        <f>IF(Table1[[#This Row],[h_Item Description]]="","",INDEX([1]!db[NB PAJAK],MATCH(Table1[[#This Row],[h_Item Description]],[1]!db[kode],0)))</f>
        <v/>
      </c>
      <c r="P76" s="93"/>
      <c r="Q76" s="94"/>
      <c r="S76" s="199" t="str">
        <f>Table1[[#This Row],[h_hargasetelahdiskon]]</f>
        <v/>
      </c>
      <c r="V76" s="95" t="str">
        <f ca="1">IF(Table1[[#This Row],[Item Description]]="","",IF(Table1[[#This Row],[//]]="",INDIRECT(ADDRESS(ROW()-1,COLUMN())),Table1[[#This Row],[//]]))</f>
        <v/>
      </c>
      <c r="W76" s="95" t="str">
        <f ca="1">IF(Table1[[#This Row],[h_id]]="","",COUNTIF(Table1[h_id],Table1[[#This Row],[h_id]]))</f>
        <v/>
      </c>
      <c r="X76" s="93" t="str">
        <f>IF(Table1[Item Description]="","",Table1[[#This Row],[Qty]]*Table1[[#This Row],[Unit Price]])</f>
        <v/>
      </c>
      <c r="Y76" s="93" t="str">
        <f>IF(Table1[[#This Row],[h_hargasebelumdiskon]]="","",IF(Table1[[#This Row],[Disc 1]]="",0,Table1[[#This Row],[h_hargasebelumdiskon]]*Table1[[#This Row],[Disc 1]]))</f>
        <v/>
      </c>
      <c r="Z76" s="93" t="str">
        <f>IF(Table1[[#This Row],[h_hargasebelumdiskon]]="","",IF(Table1[[#This Row],[Disc 2]]="",0,(Table1[[#This Row],[h_hargasebelumdiskon]]-Table1[[#This Row],[h_disc 1]])*Table1[[#This Row],[Disc 2]]))</f>
        <v/>
      </c>
      <c r="AA76" s="93" t="str">
        <f>IF(Table1[Item Description]="","",Table1[[#This Row],[h_disc 1]]+Table1[[#This Row],[h_disc 2]])</f>
        <v/>
      </c>
      <c r="AB76" s="93" t="str">
        <f>IF(Table1[Item Description]="","",Table1[[#This Row],[h_hargasebelumdiskon]]-Table1[[#This Row],[h_diskon]])</f>
        <v/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/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 t="str">
        <f>IF(Table1[[#This Row],[No. Invoice :]]="","",ROW())</f>
        <v/>
      </c>
      <c r="B78" s="196" t="str">
        <f>IF(Table1[h_Kode Sales :_1]="","",B$1+COUNT(B$2:B77))</f>
        <v/>
      </c>
      <c r="D78" s="197"/>
      <c r="E78" s="198"/>
      <c r="F78" s="197"/>
      <c r="G78" s="95" t="str">
        <f>IF(Table1[[#This Row],[h_No. Invoice :]]="","",CONCATENATE("AM"," ",Table1[[#This Row],[h_No. Invoice :]]))</f>
        <v/>
      </c>
      <c r="H78" s="96" t="str">
        <f>CONCATENATE(UPPER(Table1[[#This Row],[h_Kode Sales :_1]])," ",Table1[[#This Row],[h_Kode Sales :_2]])</f>
        <v xml:space="preserve"> </v>
      </c>
      <c r="I78" s="95" t="str">
        <f>IF(Table1[[#This Row],[h_toko]]="","",INDEX(Table2[e],IF(Table1[[#This Row],[h_toko]]="","",MATCH(Table1[[#This Row],[h_toko]],Table2[a],0)),))</f>
        <v/>
      </c>
      <c r="N78" s="196" t="str">
        <f>IF(Table1[[#This Row],[h_Item Description]]="","",INDEX([1]!db[NB PAJAK],MATCH(Table1[[#This Row],[h_Item Description]],[1]!db[kode],0)))</f>
        <v/>
      </c>
      <c r="P78" s="93"/>
      <c r="Q78" s="94"/>
      <c r="S78" s="199" t="str">
        <f>Table1[[#This Row],[h_hargasetelahdiskon]]</f>
        <v/>
      </c>
      <c r="V78" s="95" t="str">
        <f ca="1">IF(Table1[[#This Row],[Item Description]]="","",IF(Table1[[#This Row],[//]]="",INDIRECT(ADDRESS(ROW()-1,COLUMN())),Table1[[#This Row],[//]]))</f>
        <v/>
      </c>
      <c r="W78" s="95" t="str">
        <f ca="1">IF(Table1[[#This Row],[h_id]]="","",COUNTIF(Table1[h_id],Table1[[#This Row],[h_id]]))</f>
        <v/>
      </c>
      <c r="X78" s="93" t="str">
        <f>IF(Table1[Item Description]="","",Table1[[#This Row],[Qty]]*Table1[[#This Row],[Unit Price]])</f>
        <v/>
      </c>
      <c r="Y78" s="93" t="str">
        <f>IF(Table1[[#This Row],[h_hargasebelumdiskon]]="","",IF(Table1[[#This Row],[Disc 1]]="",0,Table1[[#This Row],[h_hargasebelumdiskon]]*Table1[[#This Row],[Disc 1]]))</f>
        <v/>
      </c>
      <c r="Z78" s="93" t="str">
        <f>IF(Table1[[#This Row],[h_hargasebelumdiskon]]="","",IF(Table1[[#This Row],[Disc 2]]="",0,(Table1[[#This Row],[h_hargasebelumdiskon]]-Table1[[#This Row],[h_disc 1]])*Table1[[#This Row],[Disc 2]]))</f>
        <v/>
      </c>
      <c r="AA78" s="93" t="str">
        <f>IF(Table1[Item Description]="","",Table1[[#This Row],[h_disc 1]]+Table1[[#This Row],[h_disc 2]])</f>
        <v/>
      </c>
      <c r="AB78" s="93" t="str">
        <f>IF(Table1[Item Description]="","",Table1[[#This Row],[h_hargasebelumdiskon]]-Table1[[#This Row],[h_diskon]])</f>
        <v/>
      </c>
      <c r="AC78" s="93" t="str">
        <f>IF(Table1[//]="","",SUMIF(Table1[h_id],Table1[h_id],Table1[h_hargasetelahdiskon]))</f>
        <v/>
      </c>
      <c r="AD78" s="93"/>
      <c r="AE78" s="93" t="str">
        <f>Table1[[#This Row],[Item Description]]&amp;Table1[[#This Row],[Unit]]&amp;Table1[[#This Row],[Unit Price]]</f>
        <v/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 t="str">
        <f>IF(Table1[[#This Row],[No. Invoice :]]="","",ROW())</f>
        <v/>
      </c>
      <c r="B80" s="196" t="str">
        <f>IF(Table1[h_Kode Sales :_1]="","",B$1+COUNT(B$2:B79))</f>
        <v/>
      </c>
      <c r="G80" s="95" t="str">
        <f>IF(Table1[[#This Row],[h_No. Invoice :]]="","",CONCATENATE("AM"," ",Table1[[#This Row],[h_No. Invoice :]]))</f>
        <v/>
      </c>
      <c r="H80" s="96" t="str">
        <f>CONCATENATE(UPPER(Table1[[#This Row],[h_Kode Sales :_1]])," ",Table1[[#This Row],[h_Kode Sales :_2]])</f>
        <v xml:space="preserve"> </v>
      </c>
      <c r="I80" s="95" t="str">
        <f>IF(Table1[[#This Row],[h_toko]]="","",INDEX(Table2[e],IF(Table1[[#This Row],[h_toko]]="","",MATCH(Table1[[#This Row],[h_toko]],Table2[a],0)),))</f>
        <v/>
      </c>
      <c r="N80" s="196" t="str">
        <f>IF(Table1[[#This Row],[h_Item Description]]="","",INDEX([1]!db[NB PAJAK],MATCH(Table1[[#This Row],[h_Item Description]],[1]!db[kode],0)))</f>
        <v/>
      </c>
      <c r="P80" s="93"/>
      <c r="Q80" s="94"/>
      <c r="S80" s="199" t="str">
        <f>Table1[[#This Row],[h_hargasetelahdiskon]]</f>
        <v/>
      </c>
      <c r="V80" s="95" t="str">
        <f ca="1">IF(Table1[[#This Row],[Item Description]]="","",IF(Table1[[#This Row],[//]]="",INDIRECT(ADDRESS(ROW()-1,COLUMN())),Table1[[#This Row],[//]]))</f>
        <v/>
      </c>
      <c r="W80" s="95" t="str">
        <f ca="1">IF(Table1[[#This Row],[h_id]]="","",COUNTIF(Table1[h_id],Table1[[#This Row],[h_id]]))</f>
        <v/>
      </c>
      <c r="X80" s="93" t="str">
        <f>IF(Table1[Item Description]="","",Table1[[#This Row],[Qty]]*Table1[[#This Row],[Unit Price]])</f>
        <v/>
      </c>
      <c r="Y80" s="93" t="str">
        <f>IF(Table1[[#This Row],[h_hargasebelumdiskon]]="","",IF(Table1[[#This Row],[Disc 1]]="",0,Table1[[#This Row],[h_hargasebelumdiskon]]*Table1[[#This Row],[Disc 1]]))</f>
        <v/>
      </c>
      <c r="Z80" s="93" t="str">
        <f>IF(Table1[[#This Row],[h_hargasebelumdiskon]]="","",IF(Table1[[#This Row],[Disc 2]]="",0,(Table1[[#This Row],[h_hargasebelumdiskon]]-Table1[[#This Row],[h_disc 1]])*Table1[[#This Row],[Disc 2]]))</f>
        <v/>
      </c>
      <c r="AA80" s="93" t="str">
        <f>IF(Table1[Item Description]="","",Table1[[#This Row],[h_disc 1]]+Table1[[#This Row],[h_disc 2]])</f>
        <v/>
      </c>
      <c r="AB80" s="93" t="str">
        <f>IF(Table1[Item Description]="","",Table1[[#This Row],[h_hargasebelumdiskon]]-Table1[[#This Row],[h_diskon]])</f>
        <v/>
      </c>
      <c r="AC80" s="93" t="str">
        <f>IF(Table1[//]="","",SUMIF(Table1[h_id],Table1[h_id],Table1[h_hargasetelahdiskon]))</f>
        <v/>
      </c>
      <c r="AD80" s="93"/>
      <c r="AE80" s="93" t="str">
        <f>Table1[[#This Row],[Item Description]]&amp;Table1[[#This Row],[Unit]]&amp;Table1[[#This Row],[Unit Price]]</f>
        <v/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D81" s="197"/>
      <c r="E81" s="198"/>
      <c r="F81" s="197"/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N81" s="196" t="str">
        <f>IF(Table1[[#This Row],[h_Item Description]]="","",INDEX([1]!db[NB PAJAK],MATCH(Table1[[#This Row],[h_Item Description]],[1]!db[kode],0)))</f>
        <v/>
      </c>
      <c r="P81" s="93"/>
      <c r="Q81" s="94"/>
      <c r="S81" s="199" t="str">
        <f>Table1[[#This Row],[h_hargasetelahdiskon]]</f>
        <v/>
      </c>
      <c r="V81" s="95" t="str">
        <f ca="1">IF(Table1[[#This Row],[Item Description]]="","",IF(Table1[[#This Row],[//]]="",INDIRECT(ADDRESS(ROW()-1,COLUMN())),Table1[[#This Row],[//]]))</f>
        <v/>
      </c>
      <c r="W81" s="95" t="str">
        <f ca="1">IF(Table1[[#This Row],[h_id]]="","",COUNTIF(Table1[h_id],Table1[[#This Row],[h_id]]))</f>
        <v/>
      </c>
      <c r="X81" s="93" t="str">
        <f>IF(Table1[Item Description]="","",Table1[[#This Row],[Qty]]*Table1[[#This Row],[Unit Price]])</f>
        <v/>
      </c>
      <c r="Y81" s="93" t="str">
        <f>IF(Table1[[#This Row],[h_hargasebelumdiskon]]="","",IF(Table1[[#This Row],[Disc 1]]="",0,Table1[[#This Row],[h_hargasebelumdiskon]]*Table1[[#This Row],[Disc 1]]))</f>
        <v/>
      </c>
      <c r="Z81" s="93" t="str">
        <f>IF(Table1[[#This Row],[h_hargasebelumdiskon]]="","",IF(Table1[[#This Row],[Disc 2]]="",0,(Table1[[#This Row],[h_hargasebelumdiskon]]-Table1[[#This Row],[h_disc 1]])*Table1[[#This Row],[Disc 2]]))</f>
        <v/>
      </c>
      <c r="AA81" s="93" t="str">
        <f>IF(Table1[Item Description]="","",Table1[[#This Row],[h_disc 1]]+Table1[[#This Row],[h_disc 2]])</f>
        <v/>
      </c>
      <c r="AB81" s="93" t="str">
        <f>IF(Table1[Item Description]="","",Table1[[#This Row],[h_hargasebelumdiskon]]-Table1[[#This Row],[h_diskon]])</f>
        <v/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/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N82" s="196" t="str">
        <f>IF(Table1[[#This Row],[h_Item Description]]="","",INDEX([1]!db[NB PAJAK],MATCH(Table1[[#This Row],[h_Item Description]],[1]!db[kode],0)))</f>
        <v/>
      </c>
      <c r="P82" s="93"/>
      <c r="Q82" s="94"/>
      <c r="S82" s="199" t="str">
        <f>Table1[[#This Row],[h_hargasetelahdiskon]]</f>
        <v/>
      </c>
      <c r="V82" s="95" t="str">
        <f ca="1">IF(Table1[[#This Row],[Item Description]]="","",IF(Table1[[#This Row],[//]]="",INDIRECT(ADDRESS(ROW()-1,COLUMN())),Table1[[#This Row],[//]]))</f>
        <v/>
      </c>
      <c r="W82" s="95" t="str">
        <f ca="1">IF(Table1[[#This Row],[h_id]]="","",COUNTIF(Table1[h_id],Table1[[#This Row],[h_id]]))</f>
        <v/>
      </c>
      <c r="X82" s="93" t="str">
        <f>IF(Table1[Item Description]="","",Table1[[#This Row],[Qty]]*Table1[[#This Row],[Unit Price]])</f>
        <v/>
      </c>
      <c r="Y82" s="93" t="str">
        <f>IF(Table1[[#This Row],[h_hargasebelumdiskon]]="","",IF(Table1[[#This Row],[Disc 1]]="",0,Table1[[#This Row],[h_hargasebelumdiskon]]*Table1[[#This Row],[Disc 1]]))</f>
        <v/>
      </c>
      <c r="Z82" s="93" t="str">
        <f>IF(Table1[[#This Row],[h_hargasebelumdiskon]]="","",IF(Table1[[#This Row],[Disc 2]]="",0,(Table1[[#This Row],[h_hargasebelumdiskon]]-Table1[[#This Row],[h_disc 1]])*Table1[[#This Row],[Disc 2]]))</f>
        <v/>
      </c>
      <c r="AA82" s="93" t="str">
        <f>IF(Table1[Item Description]="","",Table1[[#This Row],[h_disc 1]]+Table1[[#This Row],[h_disc 2]])</f>
        <v/>
      </c>
      <c r="AB82" s="93" t="str">
        <f>IF(Table1[Item Description]="","",Table1[[#This Row],[h_hargasebelumdiskon]]-Table1[[#This Row],[h_diskon]])</f>
        <v/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/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D83" s="197"/>
      <c r="E83" s="198"/>
      <c r="F83" s="197"/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N83" s="196" t="str">
        <f>IF(Table1[[#This Row],[h_Item Description]]="","",INDEX([1]!db[NB PAJAK],MATCH(Table1[[#This Row],[h_Item Description]],[1]!db[kode],0)))</f>
        <v/>
      </c>
      <c r="P83" s="93"/>
      <c r="Q83" s="94"/>
      <c r="S83" s="199" t="str">
        <f>Table1[[#This Row],[h_hargasetelahdiskon]]</f>
        <v/>
      </c>
      <c r="V83" s="95" t="str">
        <f ca="1">IF(Table1[[#This Row],[Item Description]]="","",IF(Table1[[#This Row],[//]]="",INDIRECT(ADDRESS(ROW()-1,COLUMN())),Table1[[#This Row],[//]]))</f>
        <v/>
      </c>
      <c r="W83" s="95" t="str">
        <f ca="1">IF(Table1[[#This Row],[h_id]]="","",COUNTIF(Table1[h_id],Table1[[#This Row],[h_id]]))</f>
        <v/>
      </c>
      <c r="X83" s="93" t="str">
        <f>IF(Table1[Item Description]="","",Table1[[#This Row],[Qty]]*Table1[[#This Row],[Unit Price]])</f>
        <v/>
      </c>
      <c r="Y83" s="93" t="str">
        <f>IF(Table1[[#This Row],[h_hargasebelumdiskon]]="","",IF(Table1[[#This Row],[Disc 1]]="",0,Table1[[#This Row],[h_hargasebelumdiskon]]*Table1[[#This Row],[Disc 1]]))</f>
        <v/>
      </c>
      <c r="Z83" s="93" t="str">
        <f>IF(Table1[[#This Row],[h_hargasebelumdiskon]]="","",IF(Table1[[#This Row],[Disc 2]]="",0,(Table1[[#This Row],[h_hargasebelumdiskon]]-Table1[[#This Row],[h_disc 1]])*Table1[[#This Row],[Disc 2]]))</f>
        <v/>
      </c>
      <c r="AA83" s="93" t="str">
        <f>IF(Table1[Item Description]="","",Table1[[#This Row],[h_disc 1]]+Table1[[#This Row],[h_disc 2]])</f>
        <v/>
      </c>
      <c r="AB83" s="93" t="str">
        <f>IF(Table1[Item Description]="","",Table1[[#This Row],[h_hargasebelumdiskon]]-Table1[[#This Row],[h_diskon]])</f>
        <v/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/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N84" s="196" t="str">
        <f>IF(Table1[[#This Row],[h_Item Description]]="","",INDEX([1]!db[NB PAJAK],MATCH(Table1[[#This Row],[h_Item Description]],[1]!db[kode],0)))</f>
        <v/>
      </c>
      <c r="P84" s="93"/>
      <c r="Q84" s="94"/>
      <c r="S84" s="199" t="str">
        <f>Table1[[#This Row],[h_hargasetelahdiskon]]</f>
        <v/>
      </c>
      <c r="V84" s="95" t="str">
        <f ca="1">IF(Table1[[#This Row],[Item Description]]="","",IF(Table1[[#This Row],[//]]="",INDIRECT(ADDRESS(ROW()-1,COLUMN())),Table1[[#This Row],[//]]))</f>
        <v/>
      </c>
      <c r="W84" s="95" t="str">
        <f ca="1">IF(Table1[[#This Row],[h_id]]="","",COUNTIF(Table1[h_id],Table1[[#This Row],[h_id]]))</f>
        <v/>
      </c>
      <c r="X84" s="93" t="str">
        <f>IF(Table1[Item Description]="","",Table1[[#This Row],[Qty]]*Table1[[#This Row],[Unit Price]])</f>
        <v/>
      </c>
      <c r="Y84" s="93" t="str">
        <f>IF(Table1[[#This Row],[h_hargasebelumdiskon]]="","",IF(Table1[[#This Row],[Disc 1]]="",0,Table1[[#This Row],[h_hargasebelumdiskon]]*Table1[[#This Row],[Disc 1]]))</f>
        <v/>
      </c>
      <c r="Z84" s="93" t="str">
        <f>IF(Table1[[#This Row],[h_hargasebelumdiskon]]="","",IF(Table1[[#This Row],[Disc 2]]="",0,(Table1[[#This Row],[h_hargasebelumdiskon]]-Table1[[#This Row],[h_disc 1]])*Table1[[#This Row],[Disc 2]]))</f>
        <v/>
      </c>
      <c r="AA84" s="93" t="str">
        <f>IF(Table1[Item Description]="","",Table1[[#This Row],[h_disc 1]]+Table1[[#This Row],[h_disc 2]])</f>
        <v/>
      </c>
      <c r="AB84" s="93" t="str">
        <f>IF(Table1[Item Description]="","",Table1[[#This Row],[h_hargasebelumdiskon]]-Table1[[#This Row],[h_diskon]])</f>
        <v/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/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 t="str">
        <f>IF(Table1[[#This Row],[No. Invoice :]]="","",ROW())</f>
        <v/>
      </c>
      <c r="B86" s="196" t="str">
        <f>IF(Table1[h_Kode Sales :_1]="","",B$1+COUNT(B$2:B85))</f>
        <v/>
      </c>
      <c r="D86" s="197"/>
      <c r="E86" s="198"/>
      <c r="F86" s="197"/>
      <c r="G86" s="95" t="str">
        <f>IF(Table1[[#This Row],[h_No. Invoice :]]="","",CONCATENATE("AM"," ",Table1[[#This Row],[h_No. Invoice :]]))</f>
        <v/>
      </c>
      <c r="H86" s="96" t="str">
        <f>CONCATENATE(UPPER(Table1[[#This Row],[h_Kode Sales :_1]])," ",Table1[[#This Row],[h_Kode Sales :_2]])</f>
        <v xml:space="preserve"> </v>
      </c>
      <c r="I86" s="95" t="str">
        <f>IF(Table1[[#This Row],[h_toko]]="","",INDEX(Table2[e],IF(Table1[[#This Row],[h_toko]]="","",MATCH(Table1[[#This Row],[h_toko]],Table2[a],0)),))</f>
        <v/>
      </c>
      <c r="N86" s="196" t="str">
        <f>IF(Table1[[#This Row],[h_Item Description]]="","",INDEX([1]!db[NB PAJAK],MATCH(Table1[[#This Row],[h_Item Description]],[1]!db[kode],0)))</f>
        <v/>
      </c>
      <c r="P86" s="93"/>
      <c r="Q86" s="94"/>
      <c r="S86" s="199" t="str">
        <f>Table1[[#This Row],[h_hargasetelahdiskon]]</f>
        <v/>
      </c>
      <c r="V86" s="95" t="str">
        <f ca="1">IF(Table1[[#This Row],[Item Description]]="","",IF(Table1[[#This Row],[//]]="",INDIRECT(ADDRESS(ROW()-1,COLUMN())),Table1[[#This Row],[//]]))</f>
        <v/>
      </c>
      <c r="W86" s="95" t="str">
        <f ca="1">IF(Table1[[#This Row],[h_id]]="","",COUNTIF(Table1[h_id],Table1[[#This Row],[h_id]]))</f>
        <v/>
      </c>
      <c r="X86" s="93" t="str">
        <f>IF(Table1[Item Description]="","",Table1[[#This Row],[Qty]]*Table1[[#This Row],[Unit Price]])</f>
        <v/>
      </c>
      <c r="Y86" s="93" t="str">
        <f>IF(Table1[[#This Row],[h_hargasebelumdiskon]]="","",IF(Table1[[#This Row],[Disc 1]]="",0,Table1[[#This Row],[h_hargasebelumdiskon]]*Table1[[#This Row],[Disc 1]]))</f>
        <v/>
      </c>
      <c r="Z86" s="93" t="str">
        <f>IF(Table1[[#This Row],[h_hargasebelumdiskon]]="","",IF(Table1[[#This Row],[Disc 2]]="",0,(Table1[[#This Row],[h_hargasebelumdiskon]]-Table1[[#This Row],[h_disc 1]])*Table1[[#This Row],[Disc 2]]))</f>
        <v/>
      </c>
      <c r="AA86" s="93" t="str">
        <f>IF(Table1[Item Description]="","",Table1[[#This Row],[h_disc 1]]+Table1[[#This Row],[h_disc 2]])</f>
        <v/>
      </c>
      <c r="AB86" s="93" t="str">
        <f>IF(Table1[Item Description]="","",Table1[[#This Row],[h_hargasebelumdiskon]]-Table1[[#This Row],[h_diskon]])</f>
        <v/>
      </c>
      <c r="AC86" s="93" t="str">
        <f>IF(Table1[//]="","",SUMIF(Table1[h_id],Table1[h_id],Table1[h_hargasetelahdiskon]))</f>
        <v/>
      </c>
      <c r="AD86" s="93"/>
      <c r="AE86" s="93" t="str">
        <f>Table1[[#This Row],[Item Description]]&amp;Table1[[#This Row],[Unit]]&amp;Table1[[#This Row],[Unit Price]]</f>
        <v/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N87" s="196" t="str">
        <f>IF(Table1[[#This Row],[h_Item Description]]="","",INDEX([1]!db[NB PAJAK],MATCH(Table1[[#This Row],[h_Item Description]],[1]!db[kode],0)))</f>
        <v/>
      </c>
      <c r="P87" s="93"/>
      <c r="Q87" s="94"/>
      <c r="S87" s="199" t="str">
        <f>Table1[[#This Row],[h_hargasetelahdiskon]]</f>
        <v/>
      </c>
      <c r="V87" s="95" t="str">
        <f ca="1">IF(Table1[[#This Row],[Item Description]]="","",IF(Table1[[#This Row],[//]]="",INDIRECT(ADDRESS(ROW()-1,COLUMN())),Table1[[#This Row],[//]]))</f>
        <v/>
      </c>
      <c r="W87" s="95" t="str">
        <f ca="1">IF(Table1[[#This Row],[h_id]]="","",COUNTIF(Table1[h_id],Table1[[#This Row],[h_id]]))</f>
        <v/>
      </c>
      <c r="X87" s="93" t="str">
        <f>IF(Table1[Item Description]="","",Table1[[#This Row],[Qty]]*Table1[[#This Row],[Unit Price]])</f>
        <v/>
      </c>
      <c r="Y87" s="93" t="str">
        <f>IF(Table1[[#This Row],[h_hargasebelumdiskon]]="","",IF(Table1[[#This Row],[Disc 1]]="",0,Table1[[#This Row],[h_hargasebelumdiskon]]*Table1[[#This Row],[Disc 1]]))</f>
        <v/>
      </c>
      <c r="Z87" s="93" t="str">
        <f>IF(Table1[[#This Row],[h_hargasebelumdiskon]]="","",IF(Table1[[#This Row],[Disc 2]]="",0,(Table1[[#This Row],[h_hargasebelumdiskon]]-Table1[[#This Row],[h_disc 1]])*Table1[[#This Row],[Disc 2]]))</f>
        <v/>
      </c>
      <c r="AA87" s="93" t="str">
        <f>IF(Table1[Item Description]="","",Table1[[#This Row],[h_disc 1]]+Table1[[#This Row],[h_disc 2]])</f>
        <v/>
      </c>
      <c r="AB87" s="93" t="str">
        <f>IF(Table1[Item Description]="","",Table1[[#This Row],[h_hargasebelumdiskon]]-Table1[[#This Row],[h_diskon]])</f>
        <v/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/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N88" s="196" t="str">
        <f>IF(Table1[[#This Row],[h_Item Description]]="","",INDEX([1]!db[NB PAJAK],MATCH(Table1[[#This Row],[h_Item Description]],[1]!db[kode],0)))</f>
        <v/>
      </c>
      <c r="P88" s="93"/>
      <c r="Q88" s="94"/>
      <c r="S88" s="199" t="str">
        <f>Table1[[#This Row],[h_hargasetelahdiskon]]</f>
        <v/>
      </c>
      <c r="V88" s="95" t="str">
        <f ca="1">IF(Table1[[#This Row],[Item Description]]="","",IF(Table1[[#This Row],[//]]="",INDIRECT(ADDRESS(ROW()-1,COLUMN())),Table1[[#This Row],[//]]))</f>
        <v/>
      </c>
      <c r="W88" s="95" t="str">
        <f ca="1">IF(Table1[[#This Row],[h_id]]="","",COUNTIF(Table1[h_id],Table1[[#This Row],[h_id]]))</f>
        <v/>
      </c>
      <c r="X88" s="93" t="str">
        <f>IF(Table1[Item Description]="","",Table1[[#This Row],[Qty]]*Table1[[#This Row],[Unit Price]])</f>
        <v/>
      </c>
      <c r="Y88" s="93" t="str">
        <f>IF(Table1[[#This Row],[h_hargasebelumdiskon]]="","",IF(Table1[[#This Row],[Disc 1]]="",0,Table1[[#This Row],[h_hargasebelumdiskon]]*Table1[[#This Row],[Disc 1]]))</f>
        <v/>
      </c>
      <c r="Z88" s="93" t="str">
        <f>IF(Table1[[#This Row],[h_hargasebelumdiskon]]="","",IF(Table1[[#This Row],[Disc 2]]="",0,(Table1[[#This Row],[h_hargasebelumdiskon]]-Table1[[#This Row],[h_disc 1]])*Table1[[#This Row],[Disc 2]]))</f>
        <v/>
      </c>
      <c r="AA88" s="93" t="str">
        <f>IF(Table1[Item Description]="","",Table1[[#This Row],[h_disc 1]]+Table1[[#This Row],[h_disc 2]])</f>
        <v/>
      </c>
      <c r="AB88" s="93" t="str">
        <f>IF(Table1[Item Description]="","",Table1[[#This Row],[h_hargasebelumdiskon]]-Table1[[#This Row],[h_diskon]])</f>
        <v/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/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M89" s="197"/>
      <c r="N89" s="196" t="str">
        <f>IF(Table1[[#This Row],[h_Item Description]]="","",INDEX([1]!db[NB PAJAK],MATCH(Table1[[#This Row],[h_Item Description]],[1]!db[kode],0)))</f>
        <v/>
      </c>
      <c r="P89" s="93"/>
      <c r="Q89" s="94"/>
      <c r="S89" s="199" t="str">
        <f>Table1[[#This Row],[h_hargasetelahdiskon]]</f>
        <v/>
      </c>
      <c r="V89" s="95" t="str">
        <f ca="1">IF(Table1[[#This Row],[Item Description]]="","",IF(Table1[[#This Row],[//]]="",INDIRECT(ADDRESS(ROW()-1,COLUMN())),Table1[[#This Row],[//]]))</f>
        <v/>
      </c>
      <c r="W89" s="95" t="str">
        <f ca="1">IF(Table1[[#This Row],[h_id]]="","",COUNTIF(Table1[h_id],Table1[[#This Row],[h_id]]))</f>
        <v/>
      </c>
      <c r="X89" s="93" t="str">
        <f>IF(Table1[Item Description]="","",Table1[[#This Row],[Qty]]*Table1[[#This Row],[Unit Price]])</f>
        <v/>
      </c>
      <c r="Y89" s="93" t="str">
        <f>IF(Table1[[#This Row],[h_hargasebelumdiskon]]="","",IF(Table1[[#This Row],[Disc 1]]="",0,Table1[[#This Row],[h_hargasebelumdiskon]]*Table1[[#This Row],[Disc 1]]))</f>
        <v/>
      </c>
      <c r="Z89" s="93" t="str">
        <f>IF(Table1[[#This Row],[h_hargasebelumdiskon]]="","",IF(Table1[[#This Row],[Disc 2]]="",0,(Table1[[#This Row],[h_hargasebelumdiskon]]-Table1[[#This Row],[h_disc 1]])*Table1[[#This Row],[Disc 2]]))</f>
        <v/>
      </c>
      <c r="AA89" s="93" t="str">
        <f>IF(Table1[Item Description]="","",Table1[[#This Row],[h_disc 1]]+Table1[[#This Row],[h_disc 2]])</f>
        <v/>
      </c>
      <c r="AB89" s="93" t="str">
        <f>IF(Table1[Item Description]="","",Table1[[#This Row],[h_hargasebelumdiskon]]-Table1[[#This Row],[h_diskon]])</f>
        <v/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/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N90" s="196" t="str">
        <f>IF(Table1[[#This Row],[h_Item Description]]="","",INDEX([1]!db[NB PAJAK],MATCH(Table1[[#This Row],[h_Item Description]],[1]!db[kode],0)))</f>
        <v/>
      </c>
      <c r="P90" s="93"/>
      <c r="Q90" s="94"/>
      <c r="S90" s="199" t="str">
        <f>Table1[[#This Row],[h_hargasetelahdiskon]]</f>
        <v/>
      </c>
      <c r="V90" s="95" t="str">
        <f ca="1">IF(Table1[[#This Row],[Item Description]]="","",IF(Table1[[#This Row],[//]]="",INDIRECT(ADDRESS(ROW()-1,COLUMN())),Table1[[#This Row],[//]]))</f>
        <v/>
      </c>
      <c r="W90" s="95" t="str">
        <f ca="1">IF(Table1[[#This Row],[h_id]]="","",COUNTIF(Table1[h_id],Table1[[#This Row],[h_id]]))</f>
        <v/>
      </c>
      <c r="X90" s="93" t="str">
        <f>IF(Table1[Item Description]="","",Table1[[#This Row],[Qty]]*Table1[[#This Row],[Unit Price]])</f>
        <v/>
      </c>
      <c r="Y90" s="93" t="str">
        <f>IF(Table1[[#This Row],[h_hargasebelumdiskon]]="","",IF(Table1[[#This Row],[Disc 1]]="",0,Table1[[#This Row],[h_hargasebelumdiskon]]*Table1[[#This Row],[Disc 1]]))</f>
        <v/>
      </c>
      <c r="Z90" s="93" t="str">
        <f>IF(Table1[[#This Row],[h_hargasebelumdiskon]]="","",IF(Table1[[#This Row],[Disc 2]]="",0,(Table1[[#This Row],[h_hargasebelumdiskon]]-Table1[[#This Row],[h_disc 1]])*Table1[[#This Row],[Disc 2]]))</f>
        <v/>
      </c>
      <c r="AA90" s="93" t="str">
        <f>IF(Table1[Item Description]="","",Table1[[#This Row],[h_disc 1]]+Table1[[#This Row],[h_disc 2]])</f>
        <v/>
      </c>
      <c r="AB90" s="93" t="str">
        <f>IF(Table1[Item Description]="","",Table1[[#This Row],[h_hargasebelumdiskon]]-Table1[[#This Row],[h_diskon]])</f>
        <v/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/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:_1]="","",B$1+COUNT(B$2:B90))</f>
        <v/>
      </c>
      <c r="D91" s="197"/>
      <c r="E91" s="198"/>
      <c r="F91" s="197"/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N91" s="196" t="str">
        <f>IF(Table1[[#This Row],[h_Item Description]]="","",INDEX([1]!db[NB PAJAK],MATCH(Table1[[#This Row],[h_Item Description]],[1]!db[kode],0)))</f>
        <v/>
      </c>
      <c r="P91" s="93"/>
      <c r="Q91" s="94"/>
      <c r="S91" s="199" t="str">
        <f>Table1[[#This Row],[h_hargasetelahdiskon]]</f>
        <v/>
      </c>
      <c r="V91" s="95" t="str">
        <f ca="1">IF(Table1[[#This Row],[Item Description]]="","",IF(Table1[[#This Row],[//]]="",INDIRECT(ADDRESS(ROW()-1,COLUMN())),Table1[[#This Row],[//]]))</f>
        <v/>
      </c>
      <c r="W91" s="95" t="str">
        <f ca="1">IF(Table1[[#This Row],[h_id]]="","",COUNTIF(Table1[h_id],Table1[[#This Row],[h_id]]))</f>
        <v/>
      </c>
      <c r="X91" s="93" t="str">
        <f>IF(Table1[Item Description]="","",Table1[[#This Row],[Qty]]*Table1[[#This Row],[Unit Price]])</f>
        <v/>
      </c>
      <c r="Y91" s="93" t="str">
        <f>IF(Table1[[#This Row],[h_hargasebelumdiskon]]="","",IF(Table1[[#This Row],[Disc 1]]="",0,Table1[[#This Row],[h_hargasebelumdiskon]]*Table1[[#This Row],[Disc 1]]))</f>
        <v/>
      </c>
      <c r="Z91" s="93" t="str">
        <f>IF(Table1[[#This Row],[h_hargasebelumdiskon]]="","",IF(Table1[[#This Row],[Disc 2]]="",0,(Table1[[#This Row],[h_hargasebelumdiskon]]-Table1[[#This Row],[h_disc 1]])*Table1[[#This Row],[Disc 2]]))</f>
        <v/>
      </c>
      <c r="AA91" s="93" t="str">
        <f>IF(Table1[Item Description]="","",Table1[[#This Row],[h_disc 1]]+Table1[[#This Row],[h_disc 2]])</f>
        <v/>
      </c>
      <c r="AB91" s="93" t="str">
        <f>IF(Table1[Item Description]="","",Table1[[#This Row],[h_hargasebelumdiskon]]-Table1[[#This Row],[h_diskon]])</f>
        <v/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/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N92" s="196" t="str">
        <f>IF(Table1[[#This Row],[h_Item Description]]="","",INDEX([1]!db[NB PAJAK],MATCH(Table1[[#This Row],[h_Item Description]],[1]!db[kode],0)))</f>
        <v/>
      </c>
      <c r="P92" s="93"/>
      <c r="Q92" s="94"/>
      <c r="S92" s="199" t="str">
        <f>Table1[[#This Row],[h_hargasetelahdiskon]]</f>
        <v/>
      </c>
      <c r="V92" s="95" t="str">
        <f ca="1">IF(Table1[[#This Row],[Item Description]]="","",IF(Table1[[#This Row],[//]]="",INDIRECT(ADDRESS(ROW()-1,COLUMN())),Table1[[#This Row],[//]]))</f>
        <v/>
      </c>
      <c r="W92" s="95" t="str">
        <f ca="1">IF(Table1[[#This Row],[h_id]]="","",COUNTIF(Table1[h_id],Table1[[#This Row],[h_id]]))</f>
        <v/>
      </c>
      <c r="X92" s="93" t="str">
        <f>IF(Table1[Item Description]="","",Table1[[#This Row],[Qty]]*Table1[[#This Row],[Unit Price]])</f>
        <v/>
      </c>
      <c r="Y92" s="93" t="str">
        <f>IF(Table1[[#This Row],[h_hargasebelumdiskon]]="","",IF(Table1[[#This Row],[Disc 1]]="",0,Table1[[#This Row],[h_hargasebelumdiskon]]*Table1[[#This Row],[Disc 1]]))</f>
        <v/>
      </c>
      <c r="Z92" s="93" t="str">
        <f>IF(Table1[[#This Row],[h_hargasebelumdiskon]]="","",IF(Table1[[#This Row],[Disc 2]]="",0,(Table1[[#This Row],[h_hargasebelumdiskon]]-Table1[[#This Row],[h_disc 1]])*Table1[[#This Row],[Disc 2]]))</f>
        <v/>
      </c>
      <c r="AA92" s="93" t="str">
        <f>IF(Table1[Item Description]="","",Table1[[#This Row],[h_disc 1]]+Table1[[#This Row],[h_disc 2]])</f>
        <v/>
      </c>
      <c r="AB92" s="93" t="str">
        <f>IF(Table1[Item Description]="","",Table1[[#This Row],[h_hargasebelumdiskon]]-Table1[[#This Row],[h_diskon]])</f>
        <v/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/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N93" s="196" t="str">
        <f>IF(Table1[[#This Row],[h_Item Description]]="","",INDEX([1]!db[NB PAJAK],MATCH(Table1[[#This Row],[h_Item Description]],[1]!db[kode],0)))</f>
        <v/>
      </c>
      <c r="P93" s="93"/>
      <c r="Q93" s="94"/>
      <c r="S93" s="199" t="str">
        <f>Table1[[#This Row],[h_hargasetelahdiskon]]</f>
        <v/>
      </c>
      <c r="V93" s="95" t="str">
        <f ca="1">IF(Table1[[#This Row],[Item Description]]="","",IF(Table1[[#This Row],[//]]="",INDIRECT(ADDRESS(ROW()-1,COLUMN())),Table1[[#This Row],[//]]))</f>
        <v/>
      </c>
      <c r="W93" s="95" t="str">
        <f ca="1">IF(Table1[[#This Row],[h_id]]="","",COUNTIF(Table1[h_id],Table1[[#This Row],[h_id]]))</f>
        <v/>
      </c>
      <c r="X93" s="93" t="str">
        <f>IF(Table1[Item Description]="","",Table1[[#This Row],[Qty]]*Table1[[#This Row],[Unit Price]])</f>
        <v/>
      </c>
      <c r="Y93" s="93" t="str">
        <f>IF(Table1[[#This Row],[h_hargasebelumdiskon]]="","",IF(Table1[[#This Row],[Disc 1]]="",0,Table1[[#This Row],[h_hargasebelumdiskon]]*Table1[[#This Row],[Disc 1]]))</f>
        <v/>
      </c>
      <c r="Z93" s="93" t="str">
        <f>IF(Table1[[#This Row],[h_hargasebelumdiskon]]="","",IF(Table1[[#This Row],[Disc 2]]="",0,(Table1[[#This Row],[h_hargasebelumdiskon]]-Table1[[#This Row],[h_disc 1]])*Table1[[#This Row],[Disc 2]]))</f>
        <v/>
      </c>
      <c r="AA93" s="93" t="str">
        <f>IF(Table1[Item Description]="","",Table1[[#This Row],[h_disc 1]]+Table1[[#This Row],[h_disc 2]])</f>
        <v/>
      </c>
      <c r="AB93" s="93" t="str">
        <f>IF(Table1[Item Description]="","",Table1[[#This Row],[h_hargasebelumdiskon]]-Table1[[#This Row],[h_diskon]])</f>
        <v/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/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D94" s="197"/>
      <c r="E94" s="198"/>
      <c r="F94" s="197"/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N94" s="196" t="str">
        <f>IF(Table1[[#This Row],[h_Item Description]]="","",INDEX([1]!db[NB PAJAK],MATCH(Table1[[#This Row],[h_Item Description]],[1]!db[kode],0)))</f>
        <v/>
      </c>
      <c r="P94" s="93"/>
      <c r="Q94" s="94"/>
      <c r="S94" s="199" t="str">
        <f>Table1[[#This Row],[h_hargasetelahdiskon]]</f>
        <v/>
      </c>
      <c r="V94" s="95" t="str">
        <f ca="1">IF(Table1[[#This Row],[Item Description]]="","",IF(Table1[[#This Row],[//]]="",INDIRECT(ADDRESS(ROW()-1,COLUMN())),Table1[[#This Row],[//]]))</f>
        <v/>
      </c>
      <c r="W94" s="95" t="str">
        <f ca="1">IF(Table1[[#This Row],[h_id]]="","",COUNTIF(Table1[h_id],Table1[[#This Row],[h_id]]))</f>
        <v/>
      </c>
      <c r="X94" s="93" t="str">
        <f>IF(Table1[Item Description]="","",Table1[[#This Row],[Qty]]*Table1[[#This Row],[Unit Price]])</f>
        <v/>
      </c>
      <c r="Y94" s="93" t="str">
        <f>IF(Table1[[#This Row],[h_hargasebelumdiskon]]="","",IF(Table1[[#This Row],[Disc 1]]="",0,Table1[[#This Row],[h_hargasebelumdiskon]]*Table1[[#This Row],[Disc 1]]))</f>
        <v/>
      </c>
      <c r="Z94" s="93" t="str">
        <f>IF(Table1[[#This Row],[h_hargasebelumdiskon]]="","",IF(Table1[[#This Row],[Disc 2]]="",0,(Table1[[#This Row],[h_hargasebelumdiskon]]-Table1[[#This Row],[h_disc 1]])*Table1[[#This Row],[Disc 2]]))</f>
        <v/>
      </c>
      <c r="AA94" s="93" t="str">
        <f>IF(Table1[Item Description]="","",Table1[[#This Row],[h_disc 1]]+Table1[[#This Row],[h_disc 2]])</f>
        <v/>
      </c>
      <c r="AB94" s="93" t="str">
        <f>IF(Table1[Item Description]="","",Table1[[#This Row],[h_hargasebelumdiskon]]-Table1[[#This Row],[h_diskon]])</f>
        <v/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/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D95" s="197"/>
      <c r="E95" s="198"/>
      <c r="F95" s="197"/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N95" s="196" t="str">
        <f>IF(Table1[[#This Row],[h_Item Description]]="","",INDEX([1]!db[NB PAJAK],MATCH(Table1[[#This Row],[h_Item Description]],[1]!db[kode],0)))</f>
        <v/>
      </c>
      <c r="P95" s="93"/>
      <c r="Q95" s="94"/>
      <c r="S95" s="199" t="str">
        <f>Table1[[#This Row],[h_hargasetelahdiskon]]</f>
        <v/>
      </c>
      <c r="V95" s="95" t="str">
        <f ca="1">IF(Table1[[#This Row],[Item Description]]="","",IF(Table1[[#This Row],[//]]="",INDIRECT(ADDRESS(ROW()-1,COLUMN())),Table1[[#This Row],[//]]))</f>
        <v/>
      </c>
      <c r="W95" s="95" t="str">
        <f ca="1">IF(Table1[[#This Row],[h_id]]="","",COUNTIF(Table1[h_id],Table1[[#This Row],[h_id]]))</f>
        <v/>
      </c>
      <c r="X95" s="93" t="str">
        <f>IF(Table1[Item Description]="","",Table1[[#This Row],[Qty]]*Table1[[#This Row],[Unit Price]])</f>
        <v/>
      </c>
      <c r="Y95" s="93" t="str">
        <f>IF(Table1[[#This Row],[h_hargasebelumdiskon]]="","",IF(Table1[[#This Row],[Disc 1]]="",0,Table1[[#This Row],[h_hargasebelumdiskon]]*Table1[[#This Row],[Disc 1]]))</f>
        <v/>
      </c>
      <c r="Z95" s="93" t="str">
        <f>IF(Table1[[#This Row],[h_hargasebelumdiskon]]="","",IF(Table1[[#This Row],[Disc 2]]="",0,(Table1[[#This Row],[h_hargasebelumdiskon]]-Table1[[#This Row],[h_disc 1]])*Table1[[#This Row],[Disc 2]]))</f>
        <v/>
      </c>
      <c r="AA95" s="93" t="str">
        <f>IF(Table1[Item Description]="","",Table1[[#This Row],[h_disc 1]]+Table1[[#This Row],[h_disc 2]])</f>
        <v/>
      </c>
      <c r="AB95" s="93" t="str">
        <f>IF(Table1[Item Description]="","",Table1[[#This Row],[h_hargasebelumdiskon]]-Table1[[#This Row],[h_diskon]])</f>
        <v/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/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N96" s="196" t="str">
        <f>IF(Table1[[#This Row],[h_Item Description]]="","",INDEX([1]!db[NB PAJAK],MATCH(Table1[[#This Row],[h_Item Description]],[1]!db[kode],0)))</f>
        <v/>
      </c>
      <c r="P96" s="93"/>
      <c r="Q96" s="94"/>
      <c r="S96" s="199" t="str">
        <f>Table1[[#This Row],[h_hargasetelahdiskon]]</f>
        <v/>
      </c>
      <c r="V96" s="95" t="str">
        <f ca="1">IF(Table1[[#This Row],[Item Description]]="","",IF(Table1[[#This Row],[//]]="",INDIRECT(ADDRESS(ROW()-1,COLUMN())),Table1[[#This Row],[//]]))</f>
        <v/>
      </c>
      <c r="W96" s="95" t="str">
        <f ca="1">IF(Table1[[#This Row],[h_id]]="","",COUNTIF(Table1[h_id],Table1[[#This Row],[h_id]]))</f>
        <v/>
      </c>
      <c r="X96" s="93" t="str">
        <f>IF(Table1[Item Description]="","",Table1[[#This Row],[Qty]]*Table1[[#This Row],[Unit Price]])</f>
        <v/>
      </c>
      <c r="Y96" s="93" t="str">
        <f>IF(Table1[[#This Row],[h_hargasebelumdiskon]]="","",IF(Table1[[#This Row],[Disc 1]]="",0,Table1[[#This Row],[h_hargasebelumdiskon]]*Table1[[#This Row],[Disc 1]]))</f>
        <v/>
      </c>
      <c r="Z96" s="93" t="str">
        <f>IF(Table1[[#This Row],[h_hargasebelumdiskon]]="","",IF(Table1[[#This Row],[Disc 2]]="",0,(Table1[[#This Row],[h_hargasebelumdiskon]]-Table1[[#This Row],[h_disc 1]])*Table1[[#This Row],[Disc 2]]))</f>
        <v/>
      </c>
      <c r="AA96" s="93" t="str">
        <f>IF(Table1[Item Description]="","",Table1[[#This Row],[h_disc 1]]+Table1[[#This Row],[h_disc 2]])</f>
        <v/>
      </c>
      <c r="AB96" s="93" t="str">
        <f>IF(Table1[Item Description]="","",Table1[[#This Row],[h_hargasebelumdiskon]]-Table1[[#This Row],[h_diskon]])</f>
        <v/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/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D97" s="197"/>
      <c r="E97" s="198"/>
      <c r="F97" s="197"/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N97" s="196" t="str">
        <f>IF(Table1[[#This Row],[h_Item Description]]="","",INDEX([1]!db[NB PAJAK],MATCH(Table1[[#This Row],[h_Item Description]],[1]!db[kode],0)))</f>
        <v/>
      </c>
      <c r="P97" s="93"/>
      <c r="Q97" s="94"/>
      <c r="S97" s="199" t="str">
        <f>Table1[[#This Row],[h_hargasetelahdiskon]]</f>
        <v/>
      </c>
      <c r="V97" s="95" t="str">
        <f ca="1">IF(Table1[[#This Row],[Item Description]]="","",IF(Table1[[#This Row],[//]]="",INDIRECT(ADDRESS(ROW()-1,COLUMN())),Table1[[#This Row],[//]]))</f>
        <v/>
      </c>
      <c r="W97" s="95" t="str">
        <f ca="1">IF(Table1[[#This Row],[h_id]]="","",COUNTIF(Table1[h_id],Table1[[#This Row],[h_id]]))</f>
        <v/>
      </c>
      <c r="X97" s="93" t="str">
        <f>IF(Table1[Item Description]="","",Table1[[#This Row],[Qty]]*Table1[[#This Row],[Unit Price]])</f>
        <v/>
      </c>
      <c r="Y97" s="93" t="str">
        <f>IF(Table1[[#This Row],[h_hargasebelumdiskon]]="","",IF(Table1[[#This Row],[Disc 1]]="",0,Table1[[#This Row],[h_hargasebelumdiskon]]*Table1[[#This Row],[Disc 1]]))</f>
        <v/>
      </c>
      <c r="Z97" s="93" t="str">
        <f>IF(Table1[[#This Row],[h_hargasebelumdiskon]]="","",IF(Table1[[#This Row],[Disc 2]]="",0,(Table1[[#This Row],[h_hargasebelumdiskon]]-Table1[[#This Row],[h_disc 1]])*Table1[[#This Row],[Disc 2]]))</f>
        <v/>
      </c>
      <c r="AA97" s="93" t="str">
        <f>IF(Table1[Item Description]="","",Table1[[#This Row],[h_disc 1]]+Table1[[#This Row],[h_disc 2]])</f>
        <v/>
      </c>
      <c r="AB97" s="93" t="str">
        <f>IF(Table1[Item Description]="","",Table1[[#This Row],[h_hargasebelumdiskon]]-Table1[[#This Row],[h_diskon]])</f>
        <v/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/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 t="str">
        <f>IF(Table1[[#This Row],[No. Invoice :]]="","",ROW())</f>
        <v/>
      </c>
      <c r="B99" s="196" t="str">
        <f>IF(Table1[h_Kode Sales :_1]="","",B$1+COUNT(B$2:B98))</f>
        <v/>
      </c>
      <c r="D99" s="197"/>
      <c r="E99" s="198"/>
      <c r="F99" s="197"/>
      <c r="G99" s="95" t="str">
        <f>IF(Table1[[#This Row],[h_No. Invoice :]]="","",CONCATENATE("AM"," ",Table1[[#This Row],[h_No. Invoice :]]))</f>
        <v/>
      </c>
      <c r="H99" s="96" t="str">
        <f>CONCATENATE(UPPER(Table1[[#This Row],[h_Kode Sales :_1]])," ",Table1[[#This Row],[h_Kode Sales :_2]])</f>
        <v xml:space="preserve"> </v>
      </c>
      <c r="I99" s="95" t="str">
        <f>IF(Table1[[#This Row],[h_toko]]="","",INDEX(Table2[e],IF(Table1[[#This Row],[h_toko]]="","",MATCH(Table1[[#This Row],[h_toko]],Table2[a],0)),))</f>
        <v/>
      </c>
      <c r="N99" s="196" t="str">
        <f>IF(Table1[[#This Row],[h_Item Description]]="","",INDEX([1]!db[NB PAJAK],MATCH(Table1[[#This Row],[h_Item Description]],[1]!db[kode],0)))</f>
        <v/>
      </c>
      <c r="P99" s="93"/>
      <c r="Q99" s="94"/>
      <c r="S99" s="199" t="str">
        <f>Table1[[#This Row],[h_hargasetelahdiskon]]</f>
        <v/>
      </c>
      <c r="V99" s="95" t="str">
        <f ca="1">IF(Table1[[#This Row],[Item Description]]="","",IF(Table1[[#This Row],[//]]="",INDIRECT(ADDRESS(ROW()-1,COLUMN())),Table1[[#This Row],[//]]))</f>
        <v/>
      </c>
      <c r="W99" s="95" t="str">
        <f ca="1">IF(Table1[[#This Row],[h_id]]="","",COUNTIF(Table1[h_id],Table1[[#This Row],[h_id]]))</f>
        <v/>
      </c>
      <c r="X99" s="93" t="str">
        <f>IF(Table1[Item Description]="","",Table1[[#This Row],[Qty]]*Table1[[#This Row],[Unit Price]])</f>
        <v/>
      </c>
      <c r="Y99" s="93" t="str">
        <f>IF(Table1[[#This Row],[h_hargasebelumdiskon]]="","",IF(Table1[[#This Row],[Disc 1]]="",0,Table1[[#This Row],[h_hargasebelumdiskon]]*Table1[[#This Row],[Disc 1]]))</f>
        <v/>
      </c>
      <c r="Z99" s="93" t="str">
        <f>IF(Table1[[#This Row],[h_hargasebelumdiskon]]="","",IF(Table1[[#This Row],[Disc 2]]="",0,(Table1[[#This Row],[h_hargasebelumdiskon]]-Table1[[#This Row],[h_disc 1]])*Table1[[#This Row],[Disc 2]]))</f>
        <v/>
      </c>
      <c r="AA99" s="93" t="str">
        <f>IF(Table1[Item Description]="","",Table1[[#This Row],[h_disc 1]]+Table1[[#This Row],[h_disc 2]])</f>
        <v/>
      </c>
      <c r="AB99" s="93" t="str">
        <f>IF(Table1[Item Description]="","",Table1[[#This Row],[h_hargasebelumdiskon]]-Table1[[#This Row],[h_diskon]])</f>
        <v/>
      </c>
      <c r="AC99" s="93" t="str">
        <f>IF(Table1[//]="","",SUMIF(Table1[h_id],Table1[h_id],Table1[h_hargasetelahdiskon]))</f>
        <v/>
      </c>
      <c r="AD99" s="93"/>
      <c r="AE99" s="93" t="str">
        <f>Table1[[#This Row],[Item Description]]&amp;Table1[[#This Row],[Unit]]&amp;Table1[[#This Row],[Unit Price]]</f>
        <v/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 t="str">
        <f>IF(Table1[[#This Row],[No. Invoice :]]="","",ROW())</f>
        <v/>
      </c>
      <c r="B101" s="196" t="str">
        <f>IF(Table1[h_Kode Sales :_1]="","",B$1+COUNT(B$2:B100))</f>
        <v/>
      </c>
      <c r="G101" s="95" t="str">
        <f>IF(Table1[[#This Row],[h_No. Invoice :]]="","",CONCATENATE("AM"," ",Table1[[#This Row],[h_No. Invoice :]]))</f>
        <v/>
      </c>
      <c r="H101" s="96" t="str">
        <f>CONCATENATE(UPPER(Table1[[#This Row],[h_Kode Sales :_1]])," ",Table1[[#This Row],[h_Kode Sales :_2]])</f>
        <v xml:space="preserve"> </v>
      </c>
      <c r="I101" s="95" t="str">
        <f>IF(Table1[[#This Row],[h_toko]]="","",INDEX(Table2[e],IF(Table1[[#This Row],[h_toko]]="","",MATCH(Table1[[#This Row],[h_toko]],Table2[a],0)),))</f>
        <v/>
      </c>
      <c r="N101" s="196" t="str">
        <f>IF(Table1[[#This Row],[h_Item Description]]="","",INDEX([1]!db[NB PAJAK],MATCH(Table1[[#This Row],[h_Item Description]],[1]!db[kode],0)))</f>
        <v/>
      </c>
      <c r="P101" s="93"/>
      <c r="Q101" s="94"/>
      <c r="S101" s="199" t="str">
        <f>Table1[[#This Row],[h_hargasetelahdiskon]]</f>
        <v/>
      </c>
      <c r="V101" s="95" t="str">
        <f ca="1">IF(Table1[[#This Row],[Item Description]]="","",IF(Table1[[#This Row],[//]]="",INDIRECT(ADDRESS(ROW()-1,COLUMN())),Table1[[#This Row],[//]]))</f>
        <v/>
      </c>
      <c r="W101" s="95" t="str">
        <f ca="1">IF(Table1[[#This Row],[h_id]]="","",COUNTIF(Table1[h_id],Table1[[#This Row],[h_id]]))</f>
        <v/>
      </c>
      <c r="X101" s="93" t="str">
        <f>IF(Table1[Item Description]="","",Table1[[#This Row],[Qty]]*Table1[[#This Row],[Unit Price]])</f>
        <v/>
      </c>
      <c r="Y101" s="93" t="str">
        <f>IF(Table1[[#This Row],[h_hargasebelumdiskon]]="","",IF(Table1[[#This Row],[Disc 1]]="",0,Table1[[#This Row],[h_hargasebelumdiskon]]*Table1[[#This Row],[Disc 1]]))</f>
        <v/>
      </c>
      <c r="Z101" s="93" t="str">
        <f>IF(Table1[[#This Row],[h_hargasebelumdiskon]]="","",IF(Table1[[#This Row],[Disc 2]]="",0,(Table1[[#This Row],[h_hargasebelumdiskon]]-Table1[[#This Row],[h_disc 1]])*Table1[[#This Row],[Disc 2]]))</f>
        <v/>
      </c>
      <c r="AA101" s="93" t="str">
        <f>IF(Table1[Item Description]="","",Table1[[#This Row],[h_disc 1]]+Table1[[#This Row],[h_disc 2]])</f>
        <v/>
      </c>
      <c r="AB101" s="93" t="str">
        <f>IF(Table1[Item Description]="","",Table1[[#This Row],[h_hargasebelumdiskon]]-Table1[[#This Row],[h_diskon]])</f>
        <v/>
      </c>
      <c r="AC101" s="93" t="str">
        <f>IF(Table1[//]="","",SUMIF(Table1[h_id],Table1[h_id],Table1[h_hargasetelahdiskon]))</f>
        <v/>
      </c>
      <c r="AD101" s="93"/>
      <c r="AE101" s="93" t="str">
        <f>Table1[[#This Row],[Item Description]]&amp;Table1[[#This Row],[Unit]]&amp;Table1[[#This Row],[Unit Price]]</f>
        <v/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N102" s="196" t="str">
        <f>IF(Table1[[#This Row],[h_Item Description]]="","",INDEX([1]!db[NB PAJAK],MATCH(Table1[[#This Row],[h_Item Description]],[1]!db[kode],0)))</f>
        <v/>
      </c>
      <c r="P102" s="93"/>
      <c r="Q102" s="94"/>
      <c r="S102" s="199" t="str">
        <f>Table1[[#This Row],[h_hargasetelahdiskon]]</f>
        <v/>
      </c>
      <c r="V102" s="95" t="str">
        <f ca="1">IF(Table1[[#This Row],[Item Description]]="","",IF(Table1[[#This Row],[//]]="",INDIRECT(ADDRESS(ROW()-1,COLUMN())),Table1[[#This Row],[//]]))</f>
        <v/>
      </c>
      <c r="W102" s="95" t="str">
        <f ca="1">IF(Table1[[#This Row],[h_id]]="","",COUNTIF(Table1[h_id],Table1[[#This Row],[h_id]]))</f>
        <v/>
      </c>
      <c r="X102" s="93" t="str">
        <f>IF(Table1[Item Description]="","",Table1[[#This Row],[Qty]]*Table1[[#This Row],[Unit Price]])</f>
        <v/>
      </c>
      <c r="Y102" s="93" t="str">
        <f>IF(Table1[[#This Row],[h_hargasebelumdiskon]]="","",IF(Table1[[#This Row],[Disc 1]]="",0,Table1[[#This Row],[h_hargasebelumdiskon]]*Table1[[#This Row],[Disc 1]]))</f>
        <v/>
      </c>
      <c r="Z102" s="93" t="str">
        <f>IF(Table1[[#This Row],[h_hargasebelumdiskon]]="","",IF(Table1[[#This Row],[Disc 2]]="",0,(Table1[[#This Row],[h_hargasebelumdiskon]]-Table1[[#This Row],[h_disc 1]])*Table1[[#This Row],[Disc 2]]))</f>
        <v/>
      </c>
      <c r="AA102" s="93" t="str">
        <f>IF(Table1[Item Description]="","",Table1[[#This Row],[h_disc 1]]+Table1[[#This Row],[h_disc 2]])</f>
        <v/>
      </c>
      <c r="AB102" s="93" t="str">
        <f>IF(Table1[Item Description]="","",Table1[[#This Row],[h_hargasebelumdiskon]]-Table1[[#This Row],[h_diskon]])</f>
        <v/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/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D103" s="197"/>
      <c r="E103" s="198"/>
      <c r="F103" s="197"/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 t="str">
        <f>IF(Table1[[#This Row],[No. Invoice :]]="","",ROW())</f>
        <v/>
      </c>
      <c r="B104" s="196" t="str">
        <f>IF(Table1[h_Kode Sales :_1]="","",B$1+COUNT(B$2:B103))</f>
        <v/>
      </c>
      <c r="D104" s="197"/>
      <c r="E104" s="198"/>
      <c r="F104" s="197"/>
      <c r="G104" s="95" t="str">
        <f>IF(Table1[[#This Row],[h_No. Invoice :]]="","",CONCATENATE("AM"," ",Table1[[#This Row],[h_No. Invoice :]]))</f>
        <v/>
      </c>
      <c r="H104" s="96" t="str">
        <f>CONCATENATE(UPPER(Table1[[#This Row],[h_Kode Sales :_1]])," ",Table1[[#This Row],[h_Kode Sales :_2]])</f>
        <v xml:space="preserve"> </v>
      </c>
      <c r="I104" s="95" t="str">
        <f>IF(Table1[[#This Row],[h_toko]]="","",INDEX(Table2[e],IF(Table1[[#This Row],[h_toko]]="","",MATCH(Table1[[#This Row],[h_toko]],Table2[a],0)),))</f>
        <v/>
      </c>
      <c r="N104" s="196" t="str">
        <f>IF(Table1[[#This Row],[h_Item Description]]="","",INDEX([1]!db[NB PAJAK],MATCH(Table1[[#This Row],[h_Item Description]],[1]!db[kode],0)))</f>
        <v/>
      </c>
      <c r="P104" s="93"/>
      <c r="Q104" s="94"/>
      <c r="S104" s="199" t="str">
        <f>Table1[[#This Row],[h_hargasetelahdiskon]]</f>
        <v/>
      </c>
      <c r="V104" s="95" t="str">
        <f ca="1">IF(Table1[[#This Row],[Item Description]]="","",IF(Table1[[#This Row],[//]]="",INDIRECT(ADDRESS(ROW()-1,COLUMN())),Table1[[#This Row],[//]]))</f>
        <v/>
      </c>
      <c r="W104" s="95" t="str">
        <f ca="1">IF(Table1[[#This Row],[h_id]]="","",COUNTIF(Table1[h_id],Table1[[#This Row],[h_id]]))</f>
        <v/>
      </c>
      <c r="X104" s="93" t="str">
        <f>IF(Table1[Item Description]="","",Table1[[#This Row],[Qty]]*Table1[[#This Row],[Unit Price]])</f>
        <v/>
      </c>
      <c r="Y104" s="93" t="str">
        <f>IF(Table1[[#This Row],[h_hargasebelumdiskon]]="","",IF(Table1[[#This Row],[Disc 1]]="",0,Table1[[#This Row],[h_hargasebelumdiskon]]*Table1[[#This Row],[Disc 1]]))</f>
        <v/>
      </c>
      <c r="Z104" s="93" t="str">
        <f>IF(Table1[[#This Row],[h_hargasebelumdiskon]]="","",IF(Table1[[#This Row],[Disc 2]]="",0,(Table1[[#This Row],[h_hargasebelumdiskon]]-Table1[[#This Row],[h_disc 1]])*Table1[[#This Row],[Disc 2]]))</f>
        <v/>
      </c>
      <c r="AA104" s="93" t="str">
        <f>IF(Table1[Item Description]="","",Table1[[#This Row],[h_disc 1]]+Table1[[#This Row],[h_disc 2]])</f>
        <v/>
      </c>
      <c r="AB104" s="93" t="str">
        <f>IF(Table1[Item Description]="","",Table1[[#This Row],[h_hargasebelumdiskon]]-Table1[[#This Row],[h_diskon]])</f>
        <v/>
      </c>
      <c r="AC104" s="93" t="str">
        <f>IF(Table1[//]="","",SUMIF(Table1[h_id],Table1[h_id],Table1[h_hargasetelahdiskon]))</f>
        <v/>
      </c>
      <c r="AD104" s="93"/>
      <c r="AE104" s="93" t="str">
        <f>Table1[[#This Row],[Item Description]]&amp;Table1[[#This Row],[Unit]]&amp;Table1[[#This Row],[Unit Price]]</f>
        <v/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N105" s="196" t="str">
        <f>IF(Table1[[#This Row],[h_Item Description]]="","",INDEX([1]!db[NB PAJAK],MATCH(Table1[[#This Row],[h_Item Description]],[1]!db[kode],0)))</f>
        <v/>
      </c>
      <c r="P105" s="93"/>
      <c r="Q105" s="94"/>
      <c r="S105" s="199" t="str">
        <f>Table1[[#This Row],[h_hargasetelahdiskon]]</f>
        <v/>
      </c>
      <c r="V105" s="95" t="str">
        <f ca="1">IF(Table1[[#This Row],[Item Description]]="","",IF(Table1[[#This Row],[//]]="",INDIRECT(ADDRESS(ROW()-1,COLUMN())),Table1[[#This Row],[//]]))</f>
        <v/>
      </c>
      <c r="W105" s="95" t="str">
        <f ca="1">IF(Table1[[#This Row],[h_id]]="","",COUNTIF(Table1[h_id],Table1[[#This Row],[h_id]]))</f>
        <v/>
      </c>
      <c r="X105" s="93" t="str">
        <f>IF(Table1[Item Description]="","",Table1[[#This Row],[Qty]]*Table1[[#This Row],[Unit Price]])</f>
        <v/>
      </c>
      <c r="Y105" s="93" t="str">
        <f>IF(Table1[[#This Row],[h_hargasebelumdiskon]]="","",IF(Table1[[#This Row],[Disc 1]]="",0,Table1[[#This Row],[h_hargasebelumdiskon]]*Table1[[#This Row],[Disc 1]]))</f>
        <v/>
      </c>
      <c r="Z105" s="93" t="str">
        <f>IF(Table1[[#This Row],[h_hargasebelumdiskon]]="","",IF(Table1[[#This Row],[Disc 2]]="",0,(Table1[[#This Row],[h_hargasebelumdiskon]]-Table1[[#This Row],[h_disc 1]])*Table1[[#This Row],[Disc 2]]))</f>
        <v/>
      </c>
      <c r="AA105" s="93" t="str">
        <f>IF(Table1[Item Description]="","",Table1[[#This Row],[h_disc 1]]+Table1[[#This Row],[h_disc 2]])</f>
        <v/>
      </c>
      <c r="AB105" s="93" t="str">
        <f>IF(Table1[Item Description]="","",Table1[[#This Row],[h_hargasebelumdiskon]]-Table1[[#This Row],[h_diskon]])</f>
        <v/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/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N106" s="196" t="str">
        <f>IF(Table1[[#This Row],[h_Item Description]]="","",INDEX([1]!db[NB PAJAK],MATCH(Table1[[#This Row],[h_Item Description]],[1]!db[kode],0)))</f>
        <v/>
      </c>
      <c r="P106" s="93"/>
      <c r="Q106" s="94"/>
      <c r="S106" s="199" t="str">
        <f>Table1[[#This Row],[h_hargasetelahdiskon]]</f>
        <v/>
      </c>
      <c r="V106" s="95" t="str">
        <f ca="1">IF(Table1[[#This Row],[Item Description]]="","",IF(Table1[[#This Row],[//]]="",INDIRECT(ADDRESS(ROW()-1,COLUMN())),Table1[[#This Row],[//]]))</f>
        <v/>
      </c>
      <c r="W106" s="95" t="str">
        <f ca="1">IF(Table1[[#This Row],[h_id]]="","",COUNTIF(Table1[h_id],Table1[[#This Row],[h_id]]))</f>
        <v/>
      </c>
      <c r="X106" s="93" t="str">
        <f>IF(Table1[Item Description]="","",Table1[[#This Row],[Qty]]*Table1[[#This Row],[Unit Price]])</f>
        <v/>
      </c>
      <c r="Y106" s="93" t="str">
        <f>IF(Table1[[#This Row],[h_hargasebelumdiskon]]="","",IF(Table1[[#This Row],[Disc 1]]="",0,Table1[[#This Row],[h_hargasebelumdiskon]]*Table1[[#This Row],[Disc 1]]))</f>
        <v/>
      </c>
      <c r="Z106" s="93" t="str">
        <f>IF(Table1[[#This Row],[h_hargasebelumdiskon]]="","",IF(Table1[[#This Row],[Disc 2]]="",0,(Table1[[#This Row],[h_hargasebelumdiskon]]-Table1[[#This Row],[h_disc 1]])*Table1[[#This Row],[Disc 2]]))</f>
        <v/>
      </c>
      <c r="AA106" s="93" t="str">
        <f>IF(Table1[Item Description]="","",Table1[[#This Row],[h_disc 1]]+Table1[[#This Row],[h_disc 2]])</f>
        <v/>
      </c>
      <c r="AB106" s="93" t="str">
        <f>IF(Table1[Item Description]="","",Table1[[#This Row],[h_hargasebelumdiskon]]-Table1[[#This Row],[h_diskon]])</f>
        <v/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/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N107" s="196" t="str">
        <f>IF(Table1[[#This Row],[h_Item Description]]="","",INDEX([1]!db[NB PAJAK],MATCH(Table1[[#This Row],[h_Item Description]],[1]!db[kode],0)))</f>
        <v/>
      </c>
      <c r="P107" s="93"/>
      <c r="Q107" s="94"/>
      <c r="S107" s="199" t="str">
        <f>Table1[[#This Row],[h_hargasetelahdiskon]]</f>
        <v/>
      </c>
      <c r="V107" s="95" t="str">
        <f ca="1">IF(Table1[[#This Row],[Item Description]]="","",IF(Table1[[#This Row],[//]]="",INDIRECT(ADDRESS(ROW()-1,COLUMN())),Table1[[#This Row],[//]]))</f>
        <v/>
      </c>
      <c r="W107" s="95" t="str">
        <f ca="1">IF(Table1[[#This Row],[h_id]]="","",COUNTIF(Table1[h_id],Table1[[#This Row],[h_id]]))</f>
        <v/>
      </c>
      <c r="X107" s="93" t="str">
        <f>IF(Table1[Item Description]="","",Table1[[#This Row],[Qty]]*Table1[[#This Row],[Unit Price]])</f>
        <v/>
      </c>
      <c r="Y107" s="93" t="str">
        <f>IF(Table1[[#This Row],[h_hargasebelumdiskon]]="","",IF(Table1[[#This Row],[Disc 1]]="",0,Table1[[#This Row],[h_hargasebelumdiskon]]*Table1[[#This Row],[Disc 1]]))</f>
        <v/>
      </c>
      <c r="Z107" s="93" t="str">
        <f>IF(Table1[[#This Row],[h_hargasebelumdiskon]]="","",IF(Table1[[#This Row],[Disc 2]]="",0,(Table1[[#This Row],[h_hargasebelumdiskon]]-Table1[[#This Row],[h_disc 1]])*Table1[[#This Row],[Disc 2]]))</f>
        <v/>
      </c>
      <c r="AA107" s="93" t="str">
        <f>IF(Table1[Item Description]="","",Table1[[#This Row],[h_disc 1]]+Table1[[#This Row],[h_disc 2]])</f>
        <v/>
      </c>
      <c r="AB107" s="93" t="str">
        <f>IF(Table1[Item Description]="","",Table1[[#This Row],[h_hargasebelumdiskon]]-Table1[[#This Row],[h_diskon]])</f>
        <v/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/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N108" s="196" t="str">
        <f>IF(Table1[[#This Row],[h_Item Description]]="","",INDEX([1]!db[NB PAJAK],MATCH(Table1[[#This Row],[h_Item Description]],[1]!db[kode],0)))</f>
        <v/>
      </c>
      <c r="P108" s="93"/>
      <c r="Q108" s="94"/>
      <c r="S108" s="199" t="str">
        <f>Table1[[#This Row],[h_hargasetelahdiskon]]</f>
        <v/>
      </c>
      <c r="V108" s="95" t="str">
        <f ca="1">IF(Table1[[#This Row],[Item Description]]="","",IF(Table1[[#This Row],[//]]="",INDIRECT(ADDRESS(ROW()-1,COLUMN())),Table1[[#This Row],[//]]))</f>
        <v/>
      </c>
      <c r="W108" s="95" t="str">
        <f ca="1">IF(Table1[[#This Row],[h_id]]="","",COUNTIF(Table1[h_id],Table1[[#This Row],[h_id]]))</f>
        <v/>
      </c>
      <c r="X108" s="93" t="str">
        <f>IF(Table1[Item Description]="","",Table1[[#This Row],[Qty]]*Table1[[#This Row],[Unit Price]])</f>
        <v/>
      </c>
      <c r="Y108" s="93" t="str">
        <f>IF(Table1[[#This Row],[h_hargasebelumdiskon]]="","",IF(Table1[[#This Row],[Disc 1]]="",0,Table1[[#This Row],[h_hargasebelumdiskon]]*Table1[[#This Row],[Disc 1]]))</f>
        <v/>
      </c>
      <c r="Z108" s="93" t="str">
        <f>IF(Table1[[#This Row],[h_hargasebelumdiskon]]="","",IF(Table1[[#This Row],[Disc 2]]="",0,(Table1[[#This Row],[h_hargasebelumdiskon]]-Table1[[#This Row],[h_disc 1]])*Table1[[#This Row],[Disc 2]]))</f>
        <v/>
      </c>
      <c r="AA108" s="93" t="str">
        <f>IF(Table1[Item Description]="","",Table1[[#This Row],[h_disc 1]]+Table1[[#This Row],[h_disc 2]])</f>
        <v/>
      </c>
      <c r="AB108" s="93" t="str">
        <f>IF(Table1[Item Description]="","",Table1[[#This Row],[h_hargasebelumdiskon]]-Table1[[#This Row],[h_diskon]])</f>
        <v/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/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 t="str">
        <f>IF(Table1[[#This Row],[No. Invoice :]]="","",ROW())</f>
        <v/>
      </c>
      <c r="B110" s="291" t="str">
        <f>IF(Table1[h_Kode Sales :_1]="","",B$1+COUNT(B$2:B109))</f>
        <v/>
      </c>
      <c r="D110" s="292"/>
      <c r="E110" s="293"/>
      <c r="F110" s="292"/>
      <c r="G110" s="95" t="str">
        <f>IF(Table1[[#This Row],[h_No. Invoice :]]="","",CONCATENATE("AM"," ",Table1[[#This Row],[h_No. Invoice :]]))</f>
        <v/>
      </c>
      <c r="H110" s="96" t="str">
        <f>CONCATENATE(UPPER(Table1[[#This Row],[h_Kode Sales :_1]])," ",Table1[[#This Row],[h_Kode Sales :_2]])</f>
        <v xml:space="preserve"> </v>
      </c>
      <c r="I110" s="95" t="str">
        <f>IF(Table1[[#This Row],[h_toko]]="","",INDEX(Table2[e],IF(Table1[[#This Row],[h_toko]]="","",MATCH(Table1[[#This Row],[h_toko]],Table2[a],0)),))</f>
        <v/>
      </c>
      <c r="N110" s="291" t="str">
        <f>IF(Table1[[#This Row],[h_Item Description]]="","",INDEX([1]!db[NB PAJAK],MATCH(Table1[[#This Row],[h_Item Description]],[1]!db[kode],0)))</f>
        <v/>
      </c>
      <c r="P110" s="93"/>
      <c r="Q110" s="94"/>
      <c r="S110" s="294" t="str">
        <f>Table1[[#This Row],[h_hargasetelahdiskon]]</f>
        <v/>
      </c>
      <c r="V110" s="95" t="str">
        <f ca="1">IF(Table1[[#This Row],[Item Description]]="","",IF(Table1[[#This Row],[//]]="",INDIRECT(ADDRESS(ROW()-1,COLUMN())),Table1[[#This Row],[//]]))</f>
        <v/>
      </c>
      <c r="W110" s="95" t="str">
        <f ca="1">IF(Table1[[#This Row],[h_id]]="","",COUNTIF(Table1[h_id],Table1[[#This Row],[h_id]]))</f>
        <v/>
      </c>
      <c r="X110" s="93" t="str">
        <f>IF(Table1[Item Description]="","",Table1[[#This Row],[Qty]]*Table1[[#This Row],[Unit Price]])</f>
        <v/>
      </c>
      <c r="Y110" s="93" t="str">
        <f>IF(Table1[[#This Row],[h_hargasebelumdiskon]]="","",IF(Table1[[#This Row],[Disc 1]]="",0,Table1[[#This Row],[h_hargasebelumdiskon]]*Table1[[#This Row],[Disc 1]]))</f>
        <v/>
      </c>
      <c r="Z110" s="93" t="str">
        <f>IF(Table1[[#This Row],[h_hargasebelumdiskon]]="","",IF(Table1[[#This Row],[Disc 2]]="",0,(Table1[[#This Row],[h_hargasebelumdiskon]]-Table1[[#This Row],[h_disc 1]])*Table1[[#This Row],[Disc 2]]))</f>
        <v/>
      </c>
      <c r="AA110" s="93" t="str">
        <f>IF(Table1[Item Description]="","",Table1[[#This Row],[h_disc 1]]+Table1[[#This Row],[h_disc 2]])</f>
        <v/>
      </c>
      <c r="AB110" s="93" t="str">
        <f>IF(Table1[Item Description]="","",Table1[[#This Row],[h_hargasebelumdiskon]]-Table1[[#This Row],[h_diskon]])</f>
        <v/>
      </c>
      <c r="AC110" s="93" t="str">
        <f>IF(Table1[//]="","",SUMIF(Table1[h_id],Table1[h_id],Table1[h_hargasetelahdiskon]))</f>
        <v/>
      </c>
      <c r="AD110" s="93"/>
      <c r="AE110" s="93" t="str">
        <f>Table1[[#This Row],[Item Description]]&amp;Table1[[#This Row],[Unit]]&amp;Table1[[#This Row],[Unit Price]]</f>
        <v/>
      </c>
    </row>
    <row r="111" spans="1:31" x14ac:dyDescent="0.25">
      <c r="A111" s="95" t="str">
        <f>IF(Table1[[#This Row],[No. Invoice :]]="","",ROW())</f>
        <v/>
      </c>
      <c r="B111" s="291" t="str">
        <f>IF(Table1[h_Kode Sales :_1]="","",B$1+COUNT(B$2:B110))</f>
        <v/>
      </c>
      <c r="D111" s="292"/>
      <c r="E111" s="293"/>
      <c r="F111" s="292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291" t="str">
        <f>IF(Table1[[#This Row],[h_Item Description]]="","",INDEX([1]!db[NB PAJAK],MATCH(Table1[[#This Row],[h_Item Description]],[1]!db[kode],0)))</f>
        <v/>
      </c>
      <c r="P111" s="93"/>
      <c r="Q111" s="94"/>
      <c r="S111" s="294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 t="str">
        <f>IF(Table1[[#This Row],[No. Invoice :]]="","",ROW())</f>
        <v/>
      </c>
      <c r="B112" s="291" t="str">
        <f>IF(Table1[h_Kode Sales :_1]="","",B$1+COUNT(B$2:B111))</f>
        <v/>
      </c>
      <c r="D112" s="292"/>
      <c r="E112" s="293"/>
      <c r="F112" s="292"/>
      <c r="G112" s="95" t="str">
        <f>IF(Table1[[#This Row],[h_No. Invoice :]]="","",CONCATENATE("AM"," ",Table1[[#This Row],[h_No. Invoice :]]))</f>
        <v/>
      </c>
      <c r="H112" s="96" t="str">
        <f>CONCATENATE(UPPER(Table1[[#This Row],[h_Kode Sales :_1]])," ",Table1[[#This Row],[h_Kode Sales :_2]])</f>
        <v xml:space="preserve"> </v>
      </c>
      <c r="I112" s="95" t="str">
        <f>IF(Table1[[#This Row],[h_toko]]="","",INDEX(Table2[e],IF(Table1[[#This Row],[h_toko]]="","",MATCH(Table1[[#This Row],[h_toko]],Table2[a],0)),))</f>
        <v/>
      </c>
      <c r="N112" s="291" t="str">
        <f>IF(Table1[[#This Row],[h_Item Description]]="","",INDEX([1]!db[NB PAJAK],MATCH(Table1[[#This Row],[h_Item Description]],[1]!db[kode],0)))</f>
        <v/>
      </c>
      <c r="P112" s="93"/>
      <c r="Q112" s="94"/>
      <c r="S112" s="294" t="str">
        <f>Table1[[#This Row],[h_hargasetelahdiskon]]</f>
        <v/>
      </c>
      <c r="V112" s="95" t="str">
        <f ca="1">IF(Table1[[#This Row],[Item Description]]="","",IF(Table1[[#This Row],[//]]="",INDIRECT(ADDRESS(ROW()-1,COLUMN())),Table1[[#This Row],[//]]))</f>
        <v/>
      </c>
      <c r="W112" s="95" t="str">
        <f ca="1">IF(Table1[[#This Row],[h_id]]="","",COUNTIF(Table1[h_id],Table1[[#This Row],[h_id]]))</f>
        <v/>
      </c>
      <c r="X112" s="93" t="str">
        <f>IF(Table1[Item Description]="","",Table1[[#This Row],[Qty]]*Table1[[#This Row],[Unit Price]])</f>
        <v/>
      </c>
      <c r="Y112" s="93" t="str">
        <f>IF(Table1[[#This Row],[h_hargasebelumdiskon]]="","",IF(Table1[[#This Row],[Disc 1]]="",0,Table1[[#This Row],[h_hargasebelumdiskon]]*Table1[[#This Row],[Disc 1]]))</f>
        <v/>
      </c>
      <c r="Z112" s="93" t="str">
        <f>IF(Table1[[#This Row],[h_hargasebelumdiskon]]="","",IF(Table1[[#This Row],[Disc 2]]="",0,(Table1[[#This Row],[h_hargasebelumdiskon]]-Table1[[#This Row],[h_disc 1]])*Table1[[#This Row],[Disc 2]]))</f>
        <v/>
      </c>
      <c r="AA112" s="93" t="str">
        <f>IF(Table1[Item Description]="","",Table1[[#This Row],[h_disc 1]]+Table1[[#This Row],[h_disc 2]])</f>
        <v/>
      </c>
      <c r="AB112" s="93" t="str">
        <f>IF(Table1[Item Description]="","",Table1[[#This Row],[h_hargasebelumdiskon]]-Table1[[#This Row],[h_diskon]])</f>
        <v/>
      </c>
      <c r="AC112" s="93" t="str">
        <f>IF(Table1[//]="","",SUMIF(Table1[h_id],Table1[h_id],Table1[h_hargasetelahdiskon]))</f>
        <v/>
      </c>
      <c r="AD112" s="93"/>
      <c r="AE112" s="93" t="str">
        <f>Table1[[#This Row],[Item Description]]&amp;Table1[[#This Row],[Unit]]&amp;Table1[[#This Row],[Unit Price]]</f>
        <v/>
      </c>
    </row>
    <row r="113" spans="1:31" x14ac:dyDescent="0.25">
      <c r="A113" s="95" t="str">
        <f>IF(Table1[[#This Row],[No. Invoice :]]="","",ROW())</f>
        <v/>
      </c>
      <c r="B113" s="291" t="str">
        <f>IF(Table1[h_Kode Sales :_1]="","",B$1+COUNT(B$2:B112))</f>
        <v/>
      </c>
      <c r="D113" s="292"/>
      <c r="E113" s="293"/>
      <c r="F113" s="292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M113" s="292"/>
      <c r="N113" s="291" t="str">
        <f>IF(Table1[[#This Row],[h_Item Description]]="","",INDEX([1]!db[NB PAJAK],MATCH(Table1[[#This Row],[h_Item Description]],[1]!db[kode],0)))</f>
        <v/>
      </c>
      <c r="P113" s="93"/>
      <c r="Q113" s="94"/>
      <c r="S113" s="294" t="str">
        <f>Table1[[#This Row],[h_hargasetelahdiskon]]</f>
        <v/>
      </c>
      <c r="V113" s="95" t="str">
        <f ca="1">IF(Table1[[#This Row],[Item Description]]="","",IF(Table1[[#This Row],[//]]="",INDIRECT(ADDRESS(ROW()-1,COLUMN())),Table1[[#This Row],[//]]))</f>
        <v/>
      </c>
      <c r="W113" s="95" t="str">
        <f ca="1">IF(Table1[[#This Row],[h_id]]="","",COUNTIF(Table1[h_id],Table1[[#This Row],[h_id]]))</f>
        <v/>
      </c>
      <c r="X113" s="93" t="str">
        <f>IF(Table1[Item Description]="","",Table1[[#This Row],[Qty]]*Table1[[#This Row],[Unit Price]])</f>
        <v/>
      </c>
      <c r="Y113" s="93" t="str">
        <f>IF(Table1[[#This Row],[h_hargasebelumdiskon]]="","",IF(Table1[[#This Row],[Disc 1]]="",0,Table1[[#This Row],[h_hargasebelumdiskon]]*Table1[[#This Row],[Disc 1]]))</f>
        <v/>
      </c>
      <c r="Z113" s="93" t="str">
        <f>IF(Table1[[#This Row],[h_hargasebelumdiskon]]="","",IF(Table1[[#This Row],[Disc 2]]="",0,(Table1[[#This Row],[h_hargasebelumdiskon]]-Table1[[#This Row],[h_disc 1]])*Table1[[#This Row],[Disc 2]]))</f>
        <v/>
      </c>
      <c r="AA113" s="93" t="str">
        <f>IF(Table1[Item Description]="","",Table1[[#This Row],[h_disc 1]]+Table1[[#This Row],[h_disc 2]])</f>
        <v/>
      </c>
      <c r="AB113" s="93" t="str">
        <f>IF(Table1[Item Description]="","",Table1[[#This Row],[h_hargasebelumdiskon]]-Table1[[#This Row],[h_diskon]])</f>
        <v/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/>
      </c>
    </row>
    <row r="114" spans="1:31" x14ac:dyDescent="0.25">
      <c r="A114" s="95" t="str">
        <f>IF(Table1[[#This Row],[No. Invoice :]]="","",ROW())</f>
        <v/>
      </c>
      <c r="B114" s="291" t="str">
        <f>IF(Table1[h_Kode Sales :_1]="","",B$1+COUNT(B$2:B113))</f>
        <v/>
      </c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M114" s="292"/>
      <c r="N114" s="95" t="str">
        <f>IF(Table1[[#This Row],[h_Item Description]]="","",INDEX([1]!db[NB PAJAK],MATCH(Table1[[#This Row],[h_Item Description]],[1]!db[kode],0)))</f>
        <v/>
      </c>
      <c r="P114" s="93"/>
      <c r="Q114" s="94"/>
      <c r="S114" s="294" t="str">
        <f>Table1[[#This Row],[h_hargasetelahdiskon]]</f>
        <v/>
      </c>
      <c r="V114" s="95" t="str">
        <f ca="1">IF(Table1[[#This Row],[Item Description]]="","",IF(Table1[[#This Row],[//]]="",INDIRECT(ADDRESS(ROW()-1,COLUMN())),Table1[[#This Row],[//]]))</f>
        <v/>
      </c>
      <c r="W114" s="95" t="str">
        <f ca="1">IF(Table1[[#This Row],[h_id]]="","",COUNTIF(Table1[h_id],Table1[[#This Row],[h_id]]))</f>
        <v/>
      </c>
      <c r="X114" s="93" t="str">
        <f>IF(Table1[Item Description]="","",Table1[[#This Row],[Qty]]*Table1[[#This Row],[Unit Price]])</f>
        <v/>
      </c>
      <c r="Y114" s="93" t="str">
        <f>IF(Table1[[#This Row],[h_hargasebelumdiskon]]="","",IF(Table1[[#This Row],[Disc 1]]="",0,Table1[[#This Row],[h_hargasebelumdiskon]]*Table1[[#This Row],[Disc 1]]))</f>
        <v/>
      </c>
      <c r="Z114" s="93" t="str">
        <f>IF(Table1[[#This Row],[h_hargasebelumdiskon]]="","",IF(Table1[[#This Row],[Disc 2]]="",0,(Table1[[#This Row],[h_hargasebelumdiskon]]-Table1[[#This Row],[h_disc 1]])*Table1[[#This Row],[Disc 2]]))</f>
        <v/>
      </c>
      <c r="AA114" s="93" t="str">
        <f>IF(Table1[Item Description]="","",Table1[[#This Row],[h_disc 1]]+Table1[[#This Row],[h_disc 2]])</f>
        <v/>
      </c>
      <c r="AB114" s="93" t="str">
        <f>IF(Table1[Item Description]="","",Table1[[#This Row],[h_hargasebelumdiskon]]-Table1[[#This Row],[h_diskon]])</f>
        <v/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/>
      </c>
    </row>
    <row r="115" spans="1:31" x14ac:dyDescent="0.25">
      <c r="A115" s="95" t="str">
        <f>IF(Table1[[#This Row],[No. Invoice :]]="","",ROW())</f>
        <v/>
      </c>
      <c r="B115" s="291" t="str">
        <f>IF(Table1[h_Kode Sales :_1]="","",B$1+COUNT(B$2:B114))</f>
        <v/>
      </c>
      <c r="D115" s="292"/>
      <c r="E115" s="293"/>
      <c r="F115" s="292"/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M115" s="292"/>
      <c r="N115" s="95" t="str">
        <f>IF(Table1[[#This Row],[h_Item Description]]="","",INDEX([1]!db[NB PAJAK],MATCH(Table1[[#This Row],[h_Item Description]],[1]!db[kode],0)))</f>
        <v/>
      </c>
      <c r="P115" s="93"/>
      <c r="Q115" s="94"/>
      <c r="S115" s="294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 t="str">
        <f>IF(Table1[[#This Row],[No. Invoice :]]="","",ROW())</f>
        <v/>
      </c>
      <c r="B116" s="291" t="str">
        <f>IF(Table1[h_Kode Sales :_1]="","",B$1+COUNT(B$2:B115))</f>
        <v/>
      </c>
      <c r="D116" s="292"/>
      <c r="E116" s="293"/>
      <c r="F116" s="292"/>
      <c r="G116" s="95" t="str">
        <f>IF(Table1[[#This Row],[h_No. Invoice :]]="","",CONCATENATE("AM"," ",Table1[[#This Row],[h_No. Invoice :]]))</f>
        <v/>
      </c>
      <c r="H116" s="96" t="str">
        <f>CONCATENATE(UPPER(Table1[[#This Row],[h_Kode Sales :_1]])," ",Table1[[#This Row],[h_Kode Sales :_2]])</f>
        <v xml:space="preserve"> </v>
      </c>
      <c r="I116" s="95" t="str">
        <f>IF(Table1[[#This Row],[h_toko]]="","",INDEX(Table2[e],IF(Table1[[#This Row],[h_toko]]="","",MATCH(Table1[[#This Row],[h_toko]],Table2[a],0)),))</f>
        <v/>
      </c>
      <c r="M116" s="292"/>
      <c r="N116" s="95" t="str">
        <f>IF(Table1[[#This Row],[h_Item Description]]="","",INDEX([1]!db[NB PAJAK],MATCH(Table1[[#This Row],[h_Item Description]],[1]!db[kode],0)))</f>
        <v/>
      </c>
      <c r="P116" s="93"/>
      <c r="Q116" s="94"/>
      <c r="S116" s="294" t="str">
        <f>Table1[[#This Row],[h_hargasetelahdiskon]]</f>
        <v/>
      </c>
      <c r="V116" s="95" t="str">
        <f ca="1">IF(Table1[[#This Row],[Item Description]]="","",IF(Table1[[#This Row],[//]]="",INDIRECT(ADDRESS(ROW()-1,COLUMN())),Table1[[#This Row],[//]]))</f>
        <v/>
      </c>
      <c r="W116" s="95" t="str">
        <f ca="1">IF(Table1[[#This Row],[h_id]]="","",COUNTIF(Table1[h_id],Table1[[#This Row],[h_id]]))</f>
        <v/>
      </c>
      <c r="X116" s="93" t="str">
        <f>IF(Table1[Item Description]="","",Table1[[#This Row],[Qty]]*Table1[[#This Row],[Unit Price]])</f>
        <v/>
      </c>
      <c r="Y116" s="93" t="str">
        <f>IF(Table1[[#This Row],[h_hargasebelumdiskon]]="","",IF(Table1[[#This Row],[Disc 1]]="",0,Table1[[#This Row],[h_hargasebelumdiskon]]*Table1[[#This Row],[Disc 1]]))</f>
        <v/>
      </c>
      <c r="Z116" s="93" t="str">
        <f>IF(Table1[[#This Row],[h_hargasebelumdiskon]]="","",IF(Table1[[#This Row],[Disc 2]]="",0,(Table1[[#This Row],[h_hargasebelumdiskon]]-Table1[[#This Row],[h_disc 1]])*Table1[[#This Row],[Disc 2]]))</f>
        <v/>
      </c>
      <c r="AA116" s="93" t="str">
        <f>IF(Table1[Item Description]="","",Table1[[#This Row],[h_disc 1]]+Table1[[#This Row],[h_disc 2]])</f>
        <v/>
      </c>
      <c r="AB116" s="93" t="str">
        <f>IF(Table1[Item Description]="","",Table1[[#This Row],[h_hargasebelumdiskon]]-Table1[[#This Row],[h_diskon]])</f>
        <v/>
      </c>
      <c r="AC116" s="93" t="str">
        <f>IF(Table1[//]="","",SUMIF(Table1[h_id],Table1[h_id],Table1[h_hargasetelahdiskon]))</f>
        <v/>
      </c>
      <c r="AD116" s="93"/>
      <c r="AE116" s="93" t="str">
        <f>Table1[[#This Row],[Item Description]]&amp;Table1[[#This Row],[Unit]]&amp;Table1[[#This Row],[Unit Price]]</f>
        <v/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M117" s="292"/>
      <c r="N117" s="95" t="str">
        <f>IF(Table1[[#This Row],[h_Item Description]]="","",INDEX([1]!db[NB PAJAK],MATCH(Table1[[#This Row],[h_Item Description]],[1]!db[kode],0)))</f>
        <v/>
      </c>
      <c r="P117" s="93"/>
      <c r="Q117" s="94"/>
      <c r="S117" s="294" t="str">
        <f>Table1[[#This Row],[h_hargasetelahdiskon]]</f>
        <v/>
      </c>
      <c r="V117" s="95" t="str">
        <f ca="1">IF(Table1[[#This Row],[Item Description]]="","",IF(Table1[[#This Row],[//]]="",INDIRECT(ADDRESS(ROW()-1,COLUMN())),Table1[[#This Row],[//]]))</f>
        <v/>
      </c>
      <c r="W117" s="95" t="str">
        <f ca="1">IF(Table1[[#This Row],[h_id]]="","",COUNTIF(Table1[h_id],Table1[[#This Row],[h_id]]))</f>
        <v/>
      </c>
      <c r="X117" s="93" t="str">
        <f>IF(Table1[Item Description]="","",Table1[[#This Row],[Qty]]*Table1[[#This Row],[Unit Price]])</f>
        <v/>
      </c>
      <c r="Y117" s="93" t="str">
        <f>IF(Table1[[#This Row],[h_hargasebelumdiskon]]="","",IF(Table1[[#This Row],[Disc 1]]="",0,Table1[[#This Row],[h_hargasebelumdiskon]]*Table1[[#This Row],[Disc 1]]))</f>
        <v/>
      </c>
      <c r="Z117" s="93" t="str">
        <f>IF(Table1[[#This Row],[h_hargasebelumdiskon]]="","",IF(Table1[[#This Row],[Disc 2]]="",0,(Table1[[#This Row],[h_hargasebelumdiskon]]-Table1[[#This Row],[h_disc 1]])*Table1[[#This Row],[Disc 2]]))</f>
        <v/>
      </c>
      <c r="AA117" s="93" t="str">
        <f>IF(Table1[Item Description]="","",Table1[[#This Row],[h_disc 1]]+Table1[[#This Row],[h_disc 2]])</f>
        <v/>
      </c>
      <c r="AB117" s="93" t="str">
        <f>IF(Table1[Item Description]="","",Table1[[#This Row],[h_hargasebelumdiskon]]-Table1[[#This Row],[h_diskon]])</f>
        <v/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/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M118" s="292"/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 t="str">
        <f>IF(Table1[[#This Row],[No. Invoice :]]="","",ROW())</f>
        <v/>
      </c>
      <c r="B119" s="291" t="str">
        <f>IF(Table1[h_Kode Sales :_1]="","",B$1+COUNT(B$2:B118))</f>
        <v/>
      </c>
      <c r="G119" s="95" t="str">
        <f>IF(Table1[[#This Row],[h_No. Invoice :]]="","",CONCATENATE("AM"," ",Table1[[#This Row],[h_No. Invoice :]]))</f>
        <v/>
      </c>
      <c r="H119" s="96" t="str">
        <f>CONCATENATE(UPPER(Table1[[#This Row],[h_Kode Sales :_1]])," ",Table1[[#This Row],[h_Kode Sales :_2]])</f>
        <v xml:space="preserve"> </v>
      </c>
      <c r="I119" s="95" t="str">
        <f>IF(Table1[[#This Row],[h_toko]]="","",INDEX(Table2[e],IF(Table1[[#This Row],[h_toko]]="","",MATCH(Table1[[#This Row],[h_toko]],Table2[a],0)),))</f>
        <v/>
      </c>
      <c r="N119" s="291" t="str">
        <f>IF(Table1[[#This Row],[h_Item Description]]="","",INDEX([1]!db[NB PAJAK],MATCH(Table1[[#This Row],[h_Item Description]],[1]!db[kode],0)))</f>
        <v/>
      </c>
      <c r="P119" s="93"/>
      <c r="Q119" s="94"/>
      <c r="S119" s="294" t="str">
        <f>Table1[[#This Row],[h_hargasetelahdiskon]]</f>
        <v/>
      </c>
      <c r="V119" s="95" t="str">
        <f ca="1">IF(Table1[[#This Row],[Item Description]]="","",IF(Table1[[#This Row],[//]]="",INDIRECT(ADDRESS(ROW()-1,COLUMN())),Table1[[#This Row],[//]]))</f>
        <v/>
      </c>
      <c r="W119" s="95" t="str">
        <f ca="1">IF(Table1[[#This Row],[h_id]]="","",COUNTIF(Table1[h_id],Table1[[#This Row],[h_id]]))</f>
        <v/>
      </c>
      <c r="X119" s="93" t="str">
        <f>IF(Table1[Item Description]="","",Table1[[#This Row],[Qty]]*Table1[[#This Row],[Unit Price]])</f>
        <v/>
      </c>
      <c r="Y119" s="93" t="str">
        <f>IF(Table1[[#This Row],[h_hargasebelumdiskon]]="","",IF(Table1[[#This Row],[Disc 1]]="",0,Table1[[#This Row],[h_hargasebelumdiskon]]*Table1[[#This Row],[Disc 1]]))</f>
        <v/>
      </c>
      <c r="Z119" s="93" t="str">
        <f>IF(Table1[[#This Row],[h_hargasebelumdiskon]]="","",IF(Table1[[#This Row],[Disc 2]]="",0,(Table1[[#This Row],[h_hargasebelumdiskon]]-Table1[[#This Row],[h_disc 1]])*Table1[[#This Row],[Disc 2]]))</f>
        <v/>
      </c>
      <c r="AA119" s="93" t="str">
        <f>IF(Table1[Item Description]="","",Table1[[#This Row],[h_disc 1]]+Table1[[#This Row],[h_disc 2]])</f>
        <v/>
      </c>
      <c r="AB119" s="93" t="str">
        <f>IF(Table1[Item Description]="","",Table1[[#This Row],[h_hargasebelumdiskon]]-Table1[[#This Row],[h_diskon]])</f>
        <v/>
      </c>
      <c r="AC119" s="93" t="str">
        <f>IF(Table1[//]="","",SUMIF(Table1[h_id],Table1[h_id],Table1[h_hargasetelahdiskon]))</f>
        <v/>
      </c>
      <c r="AD119" s="93"/>
      <c r="AE119" s="93" t="str">
        <f>Table1[[#This Row],[Item Description]]&amp;Table1[[#This Row],[Unit]]&amp;Table1[[#This Row],[Unit Price]]</f>
        <v/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M120" s="292"/>
      <c r="N120" s="291" t="str">
        <f>IF(Table1[[#This Row],[h_Item Description]]="","",INDEX([1]!db[NB PAJAK],MATCH(Table1[[#This Row],[h_Item Description]],[1]!db[kode],0)))</f>
        <v/>
      </c>
      <c r="P120" s="93"/>
      <c r="Q120" s="94"/>
      <c r="S120" s="294" t="str">
        <f>Table1[[#This Row],[h_hargasetelahdiskon]]</f>
        <v/>
      </c>
      <c r="V120" s="95" t="str">
        <f ca="1">IF(Table1[[#This Row],[Item Description]]="","",IF(Table1[[#This Row],[//]]="",INDIRECT(ADDRESS(ROW()-1,COLUMN())),Table1[[#This Row],[//]]))</f>
        <v/>
      </c>
      <c r="W120" s="95" t="str">
        <f ca="1">IF(Table1[[#This Row],[h_id]]="","",COUNTIF(Table1[h_id],Table1[[#This Row],[h_id]]))</f>
        <v/>
      </c>
      <c r="X120" s="93" t="str">
        <f>IF(Table1[Item Description]="","",Table1[[#This Row],[Qty]]*Table1[[#This Row],[Unit Price]])</f>
        <v/>
      </c>
      <c r="Y120" s="93" t="str">
        <f>IF(Table1[[#This Row],[h_hargasebelumdiskon]]="","",IF(Table1[[#This Row],[Disc 1]]="",0,Table1[[#This Row],[h_hargasebelumdiskon]]*Table1[[#This Row],[Disc 1]]))</f>
        <v/>
      </c>
      <c r="Z120" s="93" t="str">
        <f>IF(Table1[[#This Row],[h_hargasebelumdiskon]]="","",IF(Table1[[#This Row],[Disc 2]]="",0,(Table1[[#This Row],[h_hargasebelumdiskon]]-Table1[[#This Row],[h_disc 1]])*Table1[[#This Row],[Disc 2]]))</f>
        <v/>
      </c>
      <c r="AA120" s="93" t="str">
        <f>IF(Table1[Item Description]="","",Table1[[#This Row],[h_disc 1]]+Table1[[#This Row],[h_disc 2]])</f>
        <v/>
      </c>
      <c r="AB120" s="93" t="str">
        <f>IF(Table1[Item Description]="","",Table1[[#This Row],[h_hargasebelumdiskon]]-Table1[[#This Row],[h_diskon]])</f>
        <v/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/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D121" s="292"/>
      <c r="E121" s="293"/>
      <c r="F121" s="292"/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N121" s="291" t="str">
        <f>IF(Table1[[#This Row],[h_Item Description]]="","",INDEX([1]!db[NB PAJAK],MATCH(Table1[[#This Row],[h_Item Description]],[1]!db[kode],0)))</f>
        <v/>
      </c>
      <c r="P121" s="93"/>
      <c r="Q121" s="94"/>
      <c r="S121" s="294" t="str">
        <f>Table1[[#This Row],[h_hargasetelahdiskon]]</f>
        <v/>
      </c>
      <c r="V121" s="95" t="str">
        <f ca="1">IF(Table1[[#This Row],[Item Description]]="","",IF(Table1[[#This Row],[//]]="",INDIRECT(ADDRESS(ROW()-1,COLUMN())),Table1[[#This Row],[//]]))</f>
        <v/>
      </c>
      <c r="W121" s="95" t="str">
        <f ca="1">IF(Table1[[#This Row],[h_id]]="","",COUNTIF(Table1[h_id],Table1[[#This Row],[h_id]]))</f>
        <v/>
      </c>
      <c r="X121" s="93" t="str">
        <f>IF(Table1[Item Description]="","",Table1[[#This Row],[Qty]]*Table1[[#This Row],[Unit Price]])</f>
        <v/>
      </c>
      <c r="Y121" s="93" t="str">
        <f>IF(Table1[[#This Row],[h_hargasebelumdiskon]]="","",IF(Table1[[#This Row],[Disc 1]]="",0,Table1[[#This Row],[h_hargasebelumdiskon]]*Table1[[#This Row],[Disc 1]]))</f>
        <v/>
      </c>
      <c r="Z121" s="93" t="str">
        <f>IF(Table1[[#This Row],[h_hargasebelumdiskon]]="","",IF(Table1[[#This Row],[Disc 2]]="",0,(Table1[[#This Row],[h_hargasebelumdiskon]]-Table1[[#This Row],[h_disc 1]])*Table1[[#This Row],[Disc 2]]))</f>
        <v/>
      </c>
      <c r="AA121" s="93" t="str">
        <f>IF(Table1[Item Description]="","",Table1[[#This Row],[h_disc 1]]+Table1[[#This Row],[h_disc 2]])</f>
        <v/>
      </c>
      <c r="AB121" s="93" t="str">
        <f>IF(Table1[Item Description]="","",Table1[[#This Row],[h_hargasebelumdiskon]]-Table1[[#This Row],[h_diskon]])</f>
        <v/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/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N122" s="291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 t="str">
        <f>IF(Table1[[#This Row],[No. Invoice :]]="","",ROW())</f>
        <v/>
      </c>
      <c r="B123" s="291" t="str">
        <f>IF(Table1[h_Kode Sales :_1]="","",B$1+COUNT(B$2:B122))</f>
        <v/>
      </c>
      <c r="D123" s="292"/>
      <c r="E123" s="293"/>
      <c r="F123" s="292"/>
      <c r="G123" s="95" t="str">
        <f>IF(Table1[[#This Row],[h_No. Invoice :]]="","",CONCATENATE("AM"," ",Table1[[#This Row],[h_No. Invoice :]]))</f>
        <v/>
      </c>
      <c r="H123" s="96" t="str">
        <f>CONCATENATE(UPPER(Table1[[#This Row],[h_Kode Sales :_1]])," ",Table1[[#This Row],[h_Kode Sales :_2]])</f>
        <v xml:space="preserve"> </v>
      </c>
      <c r="I123" s="95" t="str">
        <f>IF(Table1[[#This Row],[h_toko]]="","",INDEX(Table2[e],IF(Table1[[#This Row],[h_toko]]="","",MATCH(Table1[[#This Row],[h_toko]],Table2[a],0)),))</f>
        <v/>
      </c>
      <c r="N123" s="291" t="str">
        <f>IF(Table1[[#This Row],[h_Item Description]]="","",INDEX([1]!db[NB PAJAK],MATCH(Table1[[#This Row],[h_Item Description]],[1]!db[kode],0)))</f>
        <v/>
      </c>
      <c r="P123" s="93"/>
      <c r="Q123" s="94"/>
      <c r="S123" s="294" t="str">
        <f>Table1[[#This Row],[h_hargasetelahdiskon]]</f>
        <v/>
      </c>
      <c r="V123" s="95" t="str">
        <f ca="1">IF(Table1[[#This Row],[Item Description]]="","",IF(Table1[[#This Row],[//]]="",INDIRECT(ADDRESS(ROW()-1,COLUMN())),Table1[[#This Row],[//]]))</f>
        <v/>
      </c>
      <c r="W123" s="95" t="str">
        <f ca="1">IF(Table1[[#This Row],[h_id]]="","",COUNTIF(Table1[h_id],Table1[[#This Row],[h_id]]))</f>
        <v/>
      </c>
      <c r="X123" s="93" t="str">
        <f>IF(Table1[Item Description]="","",Table1[[#This Row],[Qty]]*Table1[[#This Row],[Unit Price]])</f>
        <v/>
      </c>
      <c r="Y123" s="93" t="str">
        <f>IF(Table1[[#This Row],[h_hargasebelumdiskon]]="","",IF(Table1[[#This Row],[Disc 1]]="",0,Table1[[#This Row],[h_hargasebelumdiskon]]*Table1[[#This Row],[Disc 1]]))</f>
        <v/>
      </c>
      <c r="Z123" s="93" t="str">
        <f>IF(Table1[[#This Row],[h_hargasebelumdiskon]]="","",IF(Table1[[#This Row],[Disc 2]]="",0,(Table1[[#This Row],[h_hargasebelumdiskon]]-Table1[[#This Row],[h_disc 1]])*Table1[[#This Row],[Disc 2]]))</f>
        <v/>
      </c>
      <c r="AA123" s="93" t="str">
        <f>IF(Table1[Item Description]="","",Table1[[#This Row],[h_disc 1]]+Table1[[#This Row],[h_disc 2]])</f>
        <v/>
      </c>
      <c r="AB123" s="93" t="str">
        <f>IF(Table1[Item Description]="","",Table1[[#This Row],[h_hargasebelumdiskon]]-Table1[[#This Row],[h_diskon]])</f>
        <v/>
      </c>
      <c r="AC123" s="93" t="str">
        <f>IF(Table1[//]="","",SUMIF(Table1[h_id],Table1[h_id],Table1[h_hargasetelahdiskon]))</f>
        <v/>
      </c>
      <c r="AD123" s="93"/>
      <c r="AE123" s="93" t="str">
        <f>Table1[[#This Row],[Item Description]]&amp;Table1[[#This Row],[Unit]]&amp;Table1[[#This Row],[Unit Price]]</f>
        <v/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N124" s="291" t="str">
        <f>IF(Table1[[#This Row],[h_Item Description]]="","",INDEX([1]!db[NB PAJAK],MATCH(Table1[[#This Row],[h_Item Description]],[1]!db[kode],0)))</f>
        <v/>
      </c>
      <c r="P124" s="93"/>
      <c r="Q124" s="94"/>
      <c r="S124" s="294" t="str">
        <f>Table1[[#This Row],[h_hargasetelahdiskon]]</f>
        <v/>
      </c>
      <c r="V124" s="95" t="str">
        <f ca="1">IF(Table1[[#This Row],[Item Description]]="","",IF(Table1[[#This Row],[//]]="",INDIRECT(ADDRESS(ROW()-1,COLUMN())),Table1[[#This Row],[//]]))</f>
        <v/>
      </c>
      <c r="W124" s="95" t="str">
        <f ca="1">IF(Table1[[#This Row],[h_id]]="","",COUNTIF(Table1[h_id],Table1[[#This Row],[h_id]]))</f>
        <v/>
      </c>
      <c r="X124" s="93" t="str">
        <f>IF(Table1[Item Description]="","",Table1[[#This Row],[Qty]]*Table1[[#This Row],[Unit Price]])</f>
        <v/>
      </c>
      <c r="Y124" s="93" t="str">
        <f>IF(Table1[[#This Row],[h_hargasebelumdiskon]]="","",IF(Table1[[#This Row],[Disc 1]]="",0,Table1[[#This Row],[h_hargasebelumdiskon]]*Table1[[#This Row],[Disc 1]]))</f>
        <v/>
      </c>
      <c r="Z124" s="93" t="str">
        <f>IF(Table1[[#This Row],[h_hargasebelumdiskon]]="","",IF(Table1[[#This Row],[Disc 2]]="",0,(Table1[[#This Row],[h_hargasebelumdiskon]]-Table1[[#This Row],[h_disc 1]])*Table1[[#This Row],[Disc 2]]))</f>
        <v/>
      </c>
      <c r="AA124" s="93" t="str">
        <f>IF(Table1[Item Description]="","",Table1[[#This Row],[h_disc 1]]+Table1[[#This Row],[h_disc 2]])</f>
        <v/>
      </c>
      <c r="AB124" s="93" t="str">
        <f>IF(Table1[Item Description]="","",Table1[[#This Row],[h_hargasebelumdiskon]]-Table1[[#This Row],[h_diskon]])</f>
        <v/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/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N125" s="291" t="str">
        <f>IF(Table1[[#This Row],[h_Item Description]]="","",INDEX([1]!db[NB PAJAK],MATCH(Table1[[#This Row],[h_Item Description]],[1]!db[kode],0)))</f>
        <v/>
      </c>
      <c r="P125" s="93"/>
      <c r="Q125" s="94"/>
      <c r="S125" s="294" t="str">
        <f>Table1[[#This Row],[h_hargasetelahdiskon]]</f>
        <v/>
      </c>
      <c r="V125" s="95" t="str">
        <f ca="1">IF(Table1[[#This Row],[Item Description]]="","",IF(Table1[[#This Row],[//]]="",INDIRECT(ADDRESS(ROW()-1,COLUMN())),Table1[[#This Row],[//]]))</f>
        <v/>
      </c>
      <c r="W125" s="95" t="str">
        <f ca="1">IF(Table1[[#This Row],[h_id]]="","",COUNTIF(Table1[h_id],Table1[[#This Row],[h_id]]))</f>
        <v/>
      </c>
      <c r="X125" s="93" t="str">
        <f>IF(Table1[Item Description]="","",Table1[[#This Row],[Qty]]*Table1[[#This Row],[Unit Price]])</f>
        <v/>
      </c>
      <c r="Y125" s="93" t="str">
        <f>IF(Table1[[#This Row],[h_hargasebelumdiskon]]="","",IF(Table1[[#This Row],[Disc 1]]="",0,Table1[[#This Row],[h_hargasebelumdiskon]]*Table1[[#This Row],[Disc 1]]))</f>
        <v/>
      </c>
      <c r="Z125" s="93" t="str">
        <f>IF(Table1[[#This Row],[h_hargasebelumdiskon]]="","",IF(Table1[[#This Row],[Disc 2]]="",0,(Table1[[#This Row],[h_hargasebelumdiskon]]-Table1[[#This Row],[h_disc 1]])*Table1[[#This Row],[Disc 2]]))</f>
        <v/>
      </c>
      <c r="AA125" s="93" t="str">
        <f>IF(Table1[Item Description]="","",Table1[[#This Row],[h_disc 1]]+Table1[[#This Row],[h_disc 2]])</f>
        <v/>
      </c>
      <c r="AB125" s="93" t="str">
        <f>IF(Table1[Item Description]="","",Table1[[#This Row],[h_hargasebelumdiskon]]-Table1[[#This Row],[h_diskon]])</f>
        <v/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/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D126" s="292"/>
      <c r="E126" s="293"/>
      <c r="F126" s="292"/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N126" s="291" t="str">
        <f>IF(Table1[[#This Row],[h_Item Description]]="","",INDEX([1]!db[NB PAJAK],MATCH(Table1[[#This Row],[h_Item Description]],[1]!db[kode],0)))</f>
        <v/>
      </c>
      <c r="P126" s="93"/>
      <c r="Q126" s="94"/>
      <c r="S126" s="294" t="str">
        <f>Table1[[#This Row],[h_hargasetelahdiskon]]</f>
        <v/>
      </c>
      <c r="V126" s="95" t="str">
        <f ca="1">IF(Table1[[#This Row],[Item Description]]="","",IF(Table1[[#This Row],[//]]="",INDIRECT(ADDRESS(ROW()-1,COLUMN())),Table1[[#This Row],[//]]))</f>
        <v/>
      </c>
      <c r="W126" s="95" t="str">
        <f ca="1">IF(Table1[[#This Row],[h_id]]="","",COUNTIF(Table1[h_id],Table1[[#This Row],[h_id]]))</f>
        <v/>
      </c>
      <c r="X126" s="93" t="str">
        <f>IF(Table1[Item Description]="","",Table1[[#This Row],[Qty]]*Table1[[#This Row],[Unit Price]])</f>
        <v/>
      </c>
      <c r="Y126" s="93" t="str">
        <f>IF(Table1[[#This Row],[h_hargasebelumdiskon]]="","",IF(Table1[[#This Row],[Disc 1]]="",0,Table1[[#This Row],[h_hargasebelumdiskon]]*Table1[[#This Row],[Disc 1]]))</f>
        <v/>
      </c>
      <c r="Z126" s="93" t="str">
        <f>IF(Table1[[#This Row],[h_hargasebelumdiskon]]="","",IF(Table1[[#This Row],[Disc 2]]="",0,(Table1[[#This Row],[h_hargasebelumdiskon]]-Table1[[#This Row],[h_disc 1]])*Table1[[#This Row],[Disc 2]]))</f>
        <v/>
      </c>
      <c r="AA126" s="93" t="str">
        <f>IF(Table1[Item Description]="","",Table1[[#This Row],[h_disc 1]]+Table1[[#This Row],[h_disc 2]])</f>
        <v/>
      </c>
      <c r="AB126" s="93" t="str">
        <f>IF(Table1[Item Description]="","",Table1[[#This Row],[h_hargasebelumdiskon]]-Table1[[#This Row],[h_diskon]])</f>
        <v/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/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N127" s="291" t="str">
        <f>IF(Table1[[#This Row],[h_Item Description]]="","",INDEX([1]!db[NB PAJAK],MATCH(Table1[[#This Row],[h_Item Description]],[1]!db[kode],0)))</f>
        <v/>
      </c>
      <c r="P127" s="93"/>
      <c r="Q127" s="94"/>
      <c r="S127" s="294" t="str">
        <f>Table1[[#This Row],[h_hargasetelahdiskon]]</f>
        <v/>
      </c>
      <c r="V127" s="95" t="str">
        <f ca="1">IF(Table1[[#This Row],[Item Description]]="","",IF(Table1[[#This Row],[//]]="",INDIRECT(ADDRESS(ROW()-1,COLUMN())),Table1[[#This Row],[//]]))</f>
        <v/>
      </c>
      <c r="W127" s="95" t="str">
        <f ca="1">IF(Table1[[#This Row],[h_id]]="","",COUNTIF(Table1[h_id],Table1[[#This Row],[h_id]]))</f>
        <v/>
      </c>
      <c r="X127" s="93" t="str">
        <f>IF(Table1[Item Description]="","",Table1[[#This Row],[Qty]]*Table1[[#This Row],[Unit Price]])</f>
        <v/>
      </c>
      <c r="Y127" s="93" t="str">
        <f>IF(Table1[[#This Row],[h_hargasebelumdiskon]]="","",IF(Table1[[#This Row],[Disc 1]]="",0,Table1[[#This Row],[h_hargasebelumdiskon]]*Table1[[#This Row],[Disc 1]]))</f>
        <v/>
      </c>
      <c r="Z127" s="93" t="str">
        <f>IF(Table1[[#This Row],[h_hargasebelumdiskon]]="","",IF(Table1[[#This Row],[Disc 2]]="",0,(Table1[[#This Row],[h_hargasebelumdiskon]]-Table1[[#This Row],[h_disc 1]])*Table1[[#This Row],[Disc 2]]))</f>
        <v/>
      </c>
      <c r="AA127" s="93" t="str">
        <f>IF(Table1[Item Description]="","",Table1[[#This Row],[h_disc 1]]+Table1[[#This Row],[h_disc 2]])</f>
        <v/>
      </c>
      <c r="AB127" s="93" t="str">
        <f>IF(Table1[Item Description]="","",Table1[[#This Row],[h_hargasebelumdiskon]]-Table1[[#This Row],[h_diskon]])</f>
        <v/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/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N128" s="291" t="str">
        <f>IF(Table1[[#This Row],[h_Item Description]]="","",INDEX([1]!db[NB PAJAK],MATCH(Table1[[#This Row],[h_Item Description]],[1]!db[kode],0)))</f>
        <v/>
      </c>
      <c r="P128" s="93"/>
      <c r="Q128" s="94"/>
      <c r="S128" s="294" t="str">
        <f>Table1[[#This Row],[h_hargasetelahdiskon]]</f>
        <v/>
      </c>
      <c r="V128" s="95" t="str">
        <f ca="1">IF(Table1[[#This Row],[Item Description]]="","",IF(Table1[[#This Row],[//]]="",INDIRECT(ADDRESS(ROW()-1,COLUMN())),Table1[[#This Row],[//]]))</f>
        <v/>
      </c>
      <c r="W128" s="95" t="str">
        <f ca="1">IF(Table1[[#This Row],[h_id]]="","",COUNTIF(Table1[h_id],Table1[[#This Row],[h_id]]))</f>
        <v/>
      </c>
      <c r="X128" s="93" t="str">
        <f>IF(Table1[Item Description]="","",Table1[[#This Row],[Qty]]*Table1[[#This Row],[Unit Price]])</f>
        <v/>
      </c>
      <c r="Y128" s="93" t="str">
        <f>IF(Table1[[#This Row],[h_hargasebelumdiskon]]="","",IF(Table1[[#This Row],[Disc 1]]="",0,Table1[[#This Row],[h_hargasebelumdiskon]]*Table1[[#This Row],[Disc 1]]))</f>
        <v/>
      </c>
      <c r="Z128" s="93" t="str">
        <f>IF(Table1[[#This Row],[h_hargasebelumdiskon]]="","",IF(Table1[[#This Row],[Disc 2]]="",0,(Table1[[#This Row],[h_hargasebelumdiskon]]-Table1[[#This Row],[h_disc 1]])*Table1[[#This Row],[Disc 2]]))</f>
        <v/>
      </c>
      <c r="AA128" s="93" t="str">
        <f>IF(Table1[Item Description]="","",Table1[[#This Row],[h_disc 1]]+Table1[[#This Row],[h_disc 2]])</f>
        <v/>
      </c>
      <c r="AB128" s="93" t="str">
        <f>IF(Table1[Item Description]="","",Table1[[#This Row],[h_hargasebelumdiskon]]-Table1[[#This Row],[h_diskon]])</f>
        <v/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/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N129" s="291" t="str">
        <f>IF(Table1[[#This Row],[h_Item Description]]="","",INDEX([1]!db[NB PAJAK],MATCH(Table1[[#This Row],[h_Item Description]],[1]!db[kode],0)))</f>
        <v/>
      </c>
      <c r="P129" s="93"/>
      <c r="Q129" s="94"/>
      <c r="S129" s="294" t="str">
        <f>Table1[[#This Row],[h_hargasetelahdiskon]]</f>
        <v/>
      </c>
      <c r="V129" s="95" t="str">
        <f ca="1">IF(Table1[[#This Row],[Item Description]]="","",IF(Table1[[#This Row],[//]]="",INDIRECT(ADDRESS(ROW()-1,COLUMN())),Table1[[#This Row],[//]]))</f>
        <v/>
      </c>
      <c r="W129" s="95" t="str">
        <f ca="1">IF(Table1[[#This Row],[h_id]]="","",COUNTIF(Table1[h_id],Table1[[#This Row],[h_id]]))</f>
        <v/>
      </c>
      <c r="X129" s="93" t="str">
        <f>IF(Table1[Item Description]="","",Table1[[#This Row],[Qty]]*Table1[[#This Row],[Unit Price]])</f>
        <v/>
      </c>
      <c r="Y129" s="93" t="str">
        <f>IF(Table1[[#This Row],[h_hargasebelumdiskon]]="","",IF(Table1[[#This Row],[Disc 1]]="",0,Table1[[#This Row],[h_hargasebelumdiskon]]*Table1[[#This Row],[Disc 1]]))</f>
        <v/>
      </c>
      <c r="Z129" s="93" t="str">
        <f>IF(Table1[[#This Row],[h_hargasebelumdiskon]]="","",IF(Table1[[#This Row],[Disc 2]]="",0,(Table1[[#This Row],[h_hargasebelumdiskon]]-Table1[[#This Row],[h_disc 1]])*Table1[[#This Row],[Disc 2]]))</f>
        <v/>
      </c>
      <c r="AA129" s="93" t="str">
        <f>IF(Table1[Item Description]="","",Table1[[#This Row],[h_disc 1]]+Table1[[#This Row],[h_disc 2]])</f>
        <v/>
      </c>
      <c r="AB129" s="93" t="str">
        <f>IF(Table1[Item Description]="","",Table1[[#This Row],[h_hargasebelumdiskon]]-Table1[[#This Row],[h_diskon]])</f>
        <v/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/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:_1]="","",B$1+COUNT(B$2:B129))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N130" s="291" t="str">
        <f>IF(Table1[[#This Row],[h_Item Description]]="","",INDEX([1]!db[NB PAJAK],MATCH(Table1[[#This Row],[h_Item Description]],[1]!db[kode],0)))</f>
        <v/>
      </c>
      <c r="P130" s="93"/>
      <c r="Q130" s="94"/>
      <c r="S130" s="294" t="str">
        <f>Table1[[#This Row],[h_hargasetelahdiskon]]</f>
        <v/>
      </c>
      <c r="V130" s="95" t="str">
        <f ca="1">IF(Table1[[#This Row],[Item Description]]="","",IF(Table1[[#This Row],[//]]="",INDIRECT(ADDRESS(ROW()-1,COLUMN())),Table1[[#This Row],[//]]))</f>
        <v/>
      </c>
      <c r="W130" s="95" t="str">
        <f ca="1">IF(Table1[[#This Row],[h_id]]="","",COUNTIF(Table1[h_id],Table1[[#This Row],[h_id]]))</f>
        <v/>
      </c>
      <c r="X130" s="93" t="str">
        <f>IF(Table1[Item Description]="","",Table1[[#This Row],[Qty]]*Table1[[#This Row],[Unit Price]])</f>
        <v/>
      </c>
      <c r="Y130" s="93" t="str">
        <f>IF(Table1[[#This Row],[h_hargasebelumdiskon]]="","",IF(Table1[[#This Row],[Disc 1]]="",0,Table1[[#This Row],[h_hargasebelumdiskon]]*Table1[[#This Row],[Disc 1]]))</f>
        <v/>
      </c>
      <c r="Z130" s="93" t="str">
        <f>IF(Table1[[#This Row],[h_hargasebelumdiskon]]="","",IF(Table1[[#This Row],[Disc 2]]="",0,(Table1[[#This Row],[h_hargasebelumdiskon]]-Table1[[#This Row],[h_disc 1]])*Table1[[#This Row],[Disc 2]]))</f>
        <v/>
      </c>
      <c r="AA130" s="93" t="str">
        <f>IF(Table1[Item Description]="","",Table1[[#This Row],[h_disc 1]]+Table1[[#This Row],[h_disc 2]])</f>
        <v/>
      </c>
      <c r="AB130" s="93" t="str">
        <f>IF(Table1[Item Description]="","",Table1[[#This Row],[h_hargasebelumdiskon]]-Table1[[#This Row],[h_diskon]])</f>
        <v/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/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N131" s="291" t="str">
        <f>IF(Table1[[#This Row],[h_Item Description]]="","",INDEX([1]!db[NB PAJAK],MATCH(Table1[[#This Row],[h_Item Description]],[1]!db[kode],0)))</f>
        <v/>
      </c>
      <c r="P131" s="93"/>
      <c r="Q131" s="94"/>
      <c r="S131" s="294" t="str">
        <f>Table1[[#This Row],[h_hargasetelahdiskon]]</f>
        <v/>
      </c>
      <c r="V131" s="95" t="str">
        <f ca="1">IF(Table1[[#This Row],[Item Description]]="","",IF(Table1[[#This Row],[//]]="",INDIRECT(ADDRESS(ROW()-1,COLUMN())),Table1[[#This Row],[//]]))</f>
        <v/>
      </c>
      <c r="W131" s="95" t="str">
        <f ca="1">IF(Table1[[#This Row],[h_id]]="","",COUNTIF(Table1[h_id],Table1[[#This Row],[h_id]]))</f>
        <v/>
      </c>
      <c r="X131" s="93" t="str">
        <f>IF(Table1[Item Description]="","",Table1[[#This Row],[Qty]]*Table1[[#This Row],[Unit Price]])</f>
        <v/>
      </c>
      <c r="Y131" s="93" t="str">
        <f>IF(Table1[[#This Row],[h_hargasebelumdiskon]]="","",IF(Table1[[#This Row],[Disc 1]]="",0,Table1[[#This Row],[h_hargasebelumdiskon]]*Table1[[#This Row],[Disc 1]]))</f>
        <v/>
      </c>
      <c r="Z131" s="93" t="str">
        <f>IF(Table1[[#This Row],[h_hargasebelumdiskon]]="","",IF(Table1[[#This Row],[Disc 2]]="",0,(Table1[[#This Row],[h_hargasebelumdiskon]]-Table1[[#This Row],[h_disc 1]])*Table1[[#This Row],[Disc 2]]))</f>
        <v/>
      </c>
      <c r="AA131" s="93" t="str">
        <f>IF(Table1[Item Description]="","",Table1[[#This Row],[h_disc 1]]+Table1[[#This Row],[h_disc 2]])</f>
        <v/>
      </c>
      <c r="AB131" s="93" t="str">
        <f>IF(Table1[Item Description]="","",Table1[[#This Row],[h_hargasebelumdiskon]]-Table1[[#This Row],[h_diskon]])</f>
        <v/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/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N132" s="291" t="str">
        <f>IF(Table1[[#This Row],[h_Item Description]]="","",INDEX([1]!db[NB PAJAK],MATCH(Table1[[#This Row],[h_Item Description]],[1]!db[kode],0)))</f>
        <v/>
      </c>
      <c r="P132" s="93"/>
      <c r="Q132" s="94"/>
      <c r="S132" s="294" t="str">
        <f>Table1[[#This Row],[h_hargasetelahdiskon]]</f>
        <v/>
      </c>
      <c r="V132" s="95" t="str">
        <f ca="1">IF(Table1[[#This Row],[Item Description]]="","",IF(Table1[[#This Row],[//]]="",INDIRECT(ADDRESS(ROW()-1,COLUMN())),Table1[[#This Row],[//]]))</f>
        <v/>
      </c>
      <c r="W132" s="95" t="str">
        <f ca="1">IF(Table1[[#This Row],[h_id]]="","",COUNTIF(Table1[h_id],Table1[[#This Row],[h_id]]))</f>
        <v/>
      </c>
      <c r="X132" s="93" t="str">
        <f>IF(Table1[Item Description]="","",Table1[[#This Row],[Qty]]*Table1[[#This Row],[Unit Price]])</f>
        <v/>
      </c>
      <c r="Y132" s="93" t="str">
        <f>IF(Table1[[#This Row],[h_hargasebelumdiskon]]="","",IF(Table1[[#This Row],[Disc 1]]="",0,Table1[[#This Row],[h_hargasebelumdiskon]]*Table1[[#This Row],[Disc 1]]))</f>
        <v/>
      </c>
      <c r="Z132" s="93" t="str">
        <f>IF(Table1[[#This Row],[h_hargasebelumdiskon]]="","",IF(Table1[[#This Row],[Disc 2]]="",0,(Table1[[#This Row],[h_hargasebelumdiskon]]-Table1[[#This Row],[h_disc 1]])*Table1[[#This Row],[Disc 2]]))</f>
        <v/>
      </c>
      <c r="AA132" s="93" t="str">
        <f>IF(Table1[Item Description]="","",Table1[[#This Row],[h_disc 1]]+Table1[[#This Row],[h_disc 2]])</f>
        <v/>
      </c>
      <c r="AB132" s="93" t="str">
        <f>IF(Table1[Item Description]="","",Table1[[#This Row],[h_hargasebelumdiskon]]-Table1[[#This Row],[h_diskon]])</f>
        <v/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/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 t="str">
        <f>IF(Table1[[#This Row],[No. Invoice :]]="","",ROW())</f>
        <v/>
      </c>
      <c r="B134" s="291" t="str">
        <f>IF(Table1[h_Kode Sales :_1]="","",B$1+COUNT(B$2:B133))</f>
        <v/>
      </c>
      <c r="G134" s="95" t="str">
        <f>IF(Table1[[#This Row],[h_No. Invoice :]]="","",CONCATENATE("AM"," ",Table1[[#This Row],[h_No. Invoice :]]))</f>
        <v/>
      </c>
      <c r="H134" s="96" t="str">
        <f>CONCATENATE(UPPER(Table1[[#This Row],[h_Kode Sales :_1]])," ",Table1[[#This Row],[h_Kode Sales :_2]])</f>
        <v xml:space="preserve"> </v>
      </c>
      <c r="I134" s="95" t="str">
        <f>IF(Table1[[#This Row],[h_toko]]="","",INDEX(Table2[e],IF(Table1[[#This Row],[h_toko]]="","",MATCH(Table1[[#This Row],[h_toko]],Table2[a],0)),))</f>
        <v/>
      </c>
      <c r="N134" s="291" t="str">
        <f>IF(Table1[[#This Row],[h_Item Description]]="","",INDEX([1]!db[NB PAJAK],MATCH(Table1[[#This Row],[h_Item Description]],[1]!db[kode],0)))</f>
        <v/>
      </c>
      <c r="P134" s="93"/>
      <c r="Q134" s="94"/>
      <c r="S134" s="294" t="str">
        <f>Table1[[#This Row],[h_hargasetelahdiskon]]</f>
        <v/>
      </c>
      <c r="V134" s="95" t="str">
        <f ca="1">IF(Table1[[#This Row],[Item Description]]="","",IF(Table1[[#This Row],[//]]="",INDIRECT(ADDRESS(ROW()-1,COLUMN())),Table1[[#This Row],[//]]))</f>
        <v/>
      </c>
      <c r="W134" s="95" t="str">
        <f ca="1">IF(Table1[[#This Row],[h_id]]="","",COUNTIF(Table1[h_id],Table1[[#This Row],[h_id]]))</f>
        <v/>
      </c>
      <c r="X134" s="93" t="str">
        <f>IF(Table1[Item Description]="","",Table1[[#This Row],[Qty]]*Table1[[#This Row],[Unit Price]])</f>
        <v/>
      </c>
      <c r="Y134" s="93" t="str">
        <f>IF(Table1[[#This Row],[h_hargasebelumdiskon]]="","",IF(Table1[[#This Row],[Disc 1]]="",0,Table1[[#This Row],[h_hargasebelumdiskon]]*Table1[[#This Row],[Disc 1]]))</f>
        <v/>
      </c>
      <c r="Z134" s="93" t="str">
        <f>IF(Table1[[#This Row],[h_hargasebelumdiskon]]="","",IF(Table1[[#This Row],[Disc 2]]="",0,(Table1[[#This Row],[h_hargasebelumdiskon]]-Table1[[#This Row],[h_disc 1]])*Table1[[#This Row],[Disc 2]]))</f>
        <v/>
      </c>
      <c r="AA134" s="93" t="str">
        <f>IF(Table1[Item Description]="","",Table1[[#This Row],[h_disc 1]]+Table1[[#This Row],[h_disc 2]])</f>
        <v/>
      </c>
      <c r="AB134" s="93" t="str">
        <f>IF(Table1[Item Description]="","",Table1[[#This Row],[h_hargasebelumdiskon]]-Table1[[#This Row],[h_diskon]])</f>
        <v/>
      </c>
      <c r="AC134" s="93" t="str">
        <f>IF(Table1[//]="","",SUMIF(Table1[h_id],Table1[h_id],Table1[h_hargasetelahdiskon]))</f>
        <v/>
      </c>
      <c r="AD134" s="93"/>
      <c r="AE134" s="93" t="str">
        <f>Table1[[#This Row],[Item Description]]&amp;Table1[[#This Row],[Unit]]&amp;Table1[[#This Row],[Unit Price]]</f>
        <v/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 t="str">
        <f>IF(Table1[[#This Row],[No. Invoice :]]="","",ROW())</f>
        <v/>
      </c>
      <c r="B136" s="291" t="str">
        <f>IF(Table1[h_Kode Sales :_1]="","",B$1+COUNT(B$2:B135))</f>
        <v/>
      </c>
      <c r="D136" s="292"/>
      <c r="E136" s="293"/>
      <c r="F136" s="292"/>
      <c r="G136" s="95" t="str">
        <f>IF(Table1[[#This Row],[h_No. Invoice :]]="","",CONCATENATE("AM"," ",Table1[[#This Row],[h_No. Invoice :]]))</f>
        <v/>
      </c>
      <c r="H136" s="96" t="str">
        <f>CONCATENATE(UPPER(Table1[[#This Row],[h_Kode Sales :_1]])," ",Table1[[#This Row],[h_Kode Sales :_2]])</f>
        <v xml:space="preserve"> </v>
      </c>
      <c r="I136" s="95" t="str">
        <f>IF(Table1[[#This Row],[h_toko]]="","",INDEX(Table2[e],IF(Table1[[#This Row],[h_toko]]="","",MATCH(Table1[[#This Row],[h_toko]],Table2[a],0)),))</f>
        <v/>
      </c>
      <c r="N136" s="291" t="str">
        <f>IF(Table1[[#This Row],[h_Item Description]]="","",INDEX([1]!db[NB PAJAK],MATCH(Table1[[#This Row],[h_Item Description]],[1]!db[kode],0)))</f>
        <v/>
      </c>
      <c r="P136" s="93"/>
      <c r="Q136" s="94"/>
      <c r="S136" s="294" t="str">
        <f>Table1[[#This Row],[h_hargasetelahdiskon]]</f>
        <v/>
      </c>
      <c r="V136" s="95" t="str">
        <f ca="1">IF(Table1[[#This Row],[Item Description]]="","",IF(Table1[[#This Row],[//]]="",INDIRECT(ADDRESS(ROW()-1,COLUMN())),Table1[[#This Row],[//]]))</f>
        <v/>
      </c>
      <c r="W136" s="95" t="str">
        <f ca="1">IF(Table1[[#This Row],[h_id]]="","",COUNTIF(Table1[h_id],Table1[[#This Row],[h_id]]))</f>
        <v/>
      </c>
      <c r="X136" s="93" t="str">
        <f>IF(Table1[Item Description]="","",Table1[[#This Row],[Qty]]*Table1[[#This Row],[Unit Price]])</f>
        <v/>
      </c>
      <c r="Y136" s="93" t="str">
        <f>IF(Table1[[#This Row],[h_hargasebelumdiskon]]="","",IF(Table1[[#This Row],[Disc 1]]="",0,Table1[[#This Row],[h_hargasebelumdiskon]]*Table1[[#This Row],[Disc 1]]))</f>
        <v/>
      </c>
      <c r="Z136" s="93" t="str">
        <f>IF(Table1[[#This Row],[h_hargasebelumdiskon]]="","",IF(Table1[[#This Row],[Disc 2]]="",0,(Table1[[#This Row],[h_hargasebelumdiskon]]-Table1[[#This Row],[h_disc 1]])*Table1[[#This Row],[Disc 2]]))</f>
        <v/>
      </c>
      <c r="AA136" s="93" t="str">
        <f>IF(Table1[Item Description]="","",Table1[[#This Row],[h_disc 1]]+Table1[[#This Row],[h_disc 2]])</f>
        <v/>
      </c>
      <c r="AB136" s="93" t="str">
        <f>IF(Table1[Item Description]="","",Table1[[#This Row],[h_hargasebelumdiskon]]-Table1[[#This Row],[h_diskon]])</f>
        <v/>
      </c>
      <c r="AC136" s="93" t="str">
        <f>IF(Table1[//]="","",SUMIF(Table1[h_id],Table1[h_id],Table1[h_hargasetelahdiskon]))</f>
        <v/>
      </c>
      <c r="AD136" s="93"/>
      <c r="AE136" s="93" t="str">
        <f>Table1[[#This Row],[Item Description]]&amp;Table1[[#This Row],[Unit]]&amp;Table1[[#This Row],[Unit Price]]</f>
        <v/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N137" s="291" t="str">
        <f>IF(Table1[[#This Row],[h_Item Description]]="","",INDEX([1]!db[NB PAJAK],MATCH(Table1[[#This Row],[h_Item Description]],[1]!db[kode],0)))</f>
        <v/>
      </c>
      <c r="P137" s="93"/>
      <c r="Q137" s="94"/>
      <c r="S137" s="294" t="str">
        <f>Table1[[#This Row],[h_hargasetelahdiskon]]</f>
        <v/>
      </c>
      <c r="V137" s="95" t="str">
        <f ca="1">IF(Table1[[#This Row],[Item Description]]="","",IF(Table1[[#This Row],[//]]="",INDIRECT(ADDRESS(ROW()-1,COLUMN())),Table1[[#This Row],[//]]))</f>
        <v/>
      </c>
      <c r="W137" s="95" t="str">
        <f ca="1">IF(Table1[[#This Row],[h_id]]="","",COUNTIF(Table1[h_id],Table1[[#This Row],[h_id]]))</f>
        <v/>
      </c>
      <c r="X137" s="93" t="str">
        <f>IF(Table1[Item Description]="","",Table1[[#This Row],[Qty]]*Table1[[#This Row],[Unit Price]])</f>
        <v/>
      </c>
      <c r="Y137" s="93" t="str">
        <f>IF(Table1[[#This Row],[h_hargasebelumdiskon]]="","",IF(Table1[[#This Row],[Disc 1]]="",0,Table1[[#This Row],[h_hargasebelumdiskon]]*Table1[[#This Row],[Disc 1]]))</f>
        <v/>
      </c>
      <c r="Z137" s="93" t="str">
        <f>IF(Table1[[#This Row],[h_hargasebelumdiskon]]="","",IF(Table1[[#This Row],[Disc 2]]="",0,(Table1[[#This Row],[h_hargasebelumdiskon]]-Table1[[#This Row],[h_disc 1]])*Table1[[#This Row],[Disc 2]]))</f>
        <v/>
      </c>
      <c r="AA137" s="93" t="str">
        <f>IF(Table1[Item Description]="","",Table1[[#This Row],[h_disc 1]]+Table1[[#This Row],[h_disc 2]])</f>
        <v/>
      </c>
      <c r="AB137" s="93" t="str">
        <f>IF(Table1[Item Description]="","",Table1[[#This Row],[h_hargasebelumdiskon]]-Table1[[#This Row],[h_diskon]])</f>
        <v/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/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D138" s="292"/>
      <c r="E138" s="293"/>
      <c r="F138" s="292"/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N138" s="291" t="str">
        <f>IF(Table1[[#This Row],[h_Item Description]]="","",INDEX([1]!db[NB PAJAK],MATCH(Table1[[#This Row],[h_Item Description]],[1]!db[kode],0)))</f>
        <v/>
      </c>
      <c r="P138" s="93"/>
      <c r="Q138" s="94"/>
      <c r="S138" s="294" t="str">
        <f>Table1[[#This Row],[h_hargasetelahdiskon]]</f>
        <v/>
      </c>
      <c r="V138" s="95" t="str">
        <f ca="1">IF(Table1[[#This Row],[Item Description]]="","",IF(Table1[[#This Row],[//]]="",INDIRECT(ADDRESS(ROW()-1,COLUMN())),Table1[[#This Row],[//]]))</f>
        <v/>
      </c>
      <c r="W138" s="95" t="str">
        <f ca="1">IF(Table1[[#This Row],[h_id]]="","",COUNTIF(Table1[h_id],Table1[[#This Row],[h_id]]))</f>
        <v/>
      </c>
      <c r="X138" s="93" t="str">
        <f>IF(Table1[Item Description]="","",Table1[[#This Row],[Qty]]*Table1[[#This Row],[Unit Price]])</f>
        <v/>
      </c>
      <c r="Y138" s="93" t="str">
        <f>IF(Table1[[#This Row],[h_hargasebelumdiskon]]="","",IF(Table1[[#This Row],[Disc 1]]="",0,Table1[[#This Row],[h_hargasebelumdiskon]]*Table1[[#This Row],[Disc 1]]))</f>
        <v/>
      </c>
      <c r="Z138" s="93" t="str">
        <f>IF(Table1[[#This Row],[h_hargasebelumdiskon]]="","",IF(Table1[[#This Row],[Disc 2]]="",0,(Table1[[#This Row],[h_hargasebelumdiskon]]-Table1[[#This Row],[h_disc 1]])*Table1[[#This Row],[Disc 2]]))</f>
        <v/>
      </c>
      <c r="AA138" s="93" t="str">
        <f>IF(Table1[Item Description]="","",Table1[[#This Row],[h_disc 1]]+Table1[[#This Row],[h_disc 2]])</f>
        <v/>
      </c>
      <c r="AB138" s="93" t="str">
        <f>IF(Table1[Item Description]="","",Table1[[#This Row],[h_hargasebelumdiskon]]-Table1[[#This Row],[h_diskon]])</f>
        <v/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/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 t="str">
        <f>IF(Table1[[#This Row],[No. Invoice :]]="","",ROW())</f>
        <v/>
      </c>
      <c r="B140" s="291" t="str">
        <f>IF(Table1[h_Kode Sales :_1]="","",B$1+COUNT(B$2:B139))</f>
        <v/>
      </c>
      <c r="D140" s="292"/>
      <c r="E140" s="293"/>
      <c r="F140" s="292"/>
      <c r="G140" s="95" t="str">
        <f>IF(Table1[[#This Row],[h_No. Invoice :]]="","",CONCATENATE("AM"," ",Table1[[#This Row],[h_No. Invoice :]]))</f>
        <v/>
      </c>
      <c r="H140" s="96" t="str">
        <f>CONCATENATE(UPPER(Table1[[#This Row],[h_Kode Sales :_1]])," ",Table1[[#This Row],[h_Kode Sales :_2]])</f>
        <v xml:space="preserve"> </v>
      </c>
      <c r="I140" s="95" t="str">
        <f>IF(Table1[[#This Row],[h_toko]]="","",INDEX(Table2[e],IF(Table1[[#This Row],[h_toko]]="","",MATCH(Table1[[#This Row],[h_toko]],Table2[a],0)),))</f>
        <v/>
      </c>
      <c r="N140" s="291" t="str">
        <f>IF(Table1[[#This Row],[h_Item Description]]="","",INDEX([1]!db[NB PAJAK],MATCH(Table1[[#This Row],[h_Item Description]],[1]!db[kode],0)))</f>
        <v/>
      </c>
      <c r="P140" s="93"/>
      <c r="Q140" s="94"/>
      <c r="S140" s="294" t="str">
        <f>Table1[[#This Row],[h_hargasetelahdiskon]]</f>
        <v/>
      </c>
      <c r="V140" s="95" t="str">
        <f ca="1">IF(Table1[[#This Row],[Item Description]]="","",IF(Table1[[#This Row],[//]]="",INDIRECT(ADDRESS(ROW()-1,COLUMN())),Table1[[#This Row],[//]]))</f>
        <v/>
      </c>
      <c r="W140" s="95" t="str">
        <f ca="1">IF(Table1[[#This Row],[h_id]]="","",COUNTIF(Table1[h_id],Table1[[#This Row],[h_id]]))</f>
        <v/>
      </c>
      <c r="X140" s="93" t="str">
        <f>IF(Table1[Item Description]="","",Table1[[#This Row],[Qty]]*Table1[[#This Row],[Unit Price]])</f>
        <v/>
      </c>
      <c r="Y140" s="93" t="str">
        <f>IF(Table1[[#This Row],[h_hargasebelumdiskon]]="","",IF(Table1[[#This Row],[Disc 1]]="",0,Table1[[#This Row],[h_hargasebelumdiskon]]*Table1[[#This Row],[Disc 1]]))</f>
        <v/>
      </c>
      <c r="Z140" s="93" t="str">
        <f>IF(Table1[[#This Row],[h_hargasebelumdiskon]]="","",IF(Table1[[#This Row],[Disc 2]]="",0,(Table1[[#This Row],[h_hargasebelumdiskon]]-Table1[[#This Row],[h_disc 1]])*Table1[[#This Row],[Disc 2]]))</f>
        <v/>
      </c>
      <c r="AA140" s="93" t="str">
        <f>IF(Table1[Item Description]="","",Table1[[#This Row],[h_disc 1]]+Table1[[#This Row],[h_disc 2]])</f>
        <v/>
      </c>
      <c r="AB140" s="93" t="str">
        <f>IF(Table1[Item Description]="","",Table1[[#This Row],[h_hargasebelumdiskon]]-Table1[[#This Row],[h_diskon]])</f>
        <v/>
      </c>
      <c r="AC140" s="93" t="str">
        <f>IF(Table1[//]="","",SUMIF(Table1[h_id],Table1[h_id],Table1[h_hargasetelahdiskon]))</f>
        <v/>
      </c>
      <c r="AD140" s="93"/>
      <c r="AE140" s="93" t="str">
        <f>Table1[[#This Row],[Item Description]]&amp;Table1[[#This Row],[Unit]]&amp;Table1[[#This Row],[Unit Price]]</f>
        <v/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N141" s="291" t="str">
        <f>IF(Table1[[#This Row],[h_Item Description]]="","",INDEX([1]!db[NB PAJAK],MATCH(Table1[[#This Row],[h_Item Description]],[1]!db[kode],0)))</f>
        <v/>
      </c>
      <c r="P141" s="93"/>
      <c r="Q141" s="94"/>
      <c r="S141" s="294" t="str">
        <f>Table1[[#This Row],[h_hargasetelahdiskon]]</f>
        <v/>
      </c>
      <c r="V141" s="95" t="str">
        <f ca="1">IF(Table1[[#This Row],[Item Description]]="","",IF(Table1[[#This Row],[//]]="",INDIRECT(ADDRESS(ROW()-1,COLUMN())),Table1[[#This Row],[//]]))</f>
        <v/>
      </c>
      <c r="W141" s="95" t="str">
        <f ca="1">IF(Table1[[#This Row],[h_id]]="","",COUNTIF(Table1[h_id],Table1[[#This Row],[h_id]]))</f>
        <v/>
      </c>
      <c r="X141" s="93" t="str">
        <f>IF(Table1[Item Description]="","",Table1[[#This Row],[Qty]]*Table1[[#This Row],[Unit Price]])</f>
        <v/>
      </c>
      <c r="Y141" s="93" t="str">
        <f>IF(Table1[[#This Row],[h_hargasebelumdiskon]]="","",IF(Table1[[#This Row],[Disc 1]]="",0,Table1[[#This Row],[h_hargasebelumdiskon]]*Table1[[#This Row],[Disc 1]]))</f>
        <v/>
      </c>
      <c r="Z141" s="93" t="str">
        <f>IF(Table1[[#This Row],[h_hargasebelumdiskon]]="","",IF(Table1[[#This Row],[Disc 2]]="",0,(Table1[[#This Row],[h_hargasebelumdiskon]]-Table1[[#This Row],[h_disc 1]])*Table1[[#This Row],[Disc 2]]))</f>
        <v/>
      </c>
      <c r="AA141" s="93" t="str">
        <f>IF(Table1[Item Description]="","",Table1[[#This Row],[h_disc 1]]+Table1[[#This Row],[h_disc 2]])</f>
        <v/>
      </c>
      <c r="AB141" s="93" t="str">
        <f>IF(Table1[Item Description]="","",Table1[[#This Row],[h_hargasebelumdiskon]]-Table1[[#This Row],[h_diskon]])</f>
        <v/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/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 t="str">
        <f>IF(Table1[[#This Row],[No. Invoice :]]="","",ROW())</f>
        <v/>
      </c>
      <c r="B143" s="291" t="str">
        <f>IF(Table1[h_Kode Sales :_1]="","",B$1+COUNT(B$2:B142))</f>
        <v/>
      </c>
      <c r="G143" s="95" t="str">
        <f>IF(Table1[[#This Row],[h_No. Invoice :]]="","",CONCATENATE("AM"," ",Table1[[#This Row],[h_No. Invoice :]]))</f>
        <v/>
      </c>
      <c r="H143" s="96" t="str">
        <f>CONCATENATE(UPPER(Table1[[#This Row],[h_Kode Sales :_1]])," ",Table1[[#This Row],[h_Kode Sales :_2]])</f>
        <v xml:space="preserve"> </v>
      </c>
      <c r="I143" s="95" t="str">
        <f>IF(Table1[[#This Row],[h_toko]]="","",INDEX(Table2[e],IF(Table1[[#This Row],[h_toko]]="","",MATCH(Table1[[#This Row],[h_toko]],Table2[a],0)),))</f>
        <v/>
      </c>
      <c r="N143" s="291" t="str">
        <f>IF(Table1[[#This Row],[h_Item Description]]="","",INDEX([1]!db[NB PAJAK],MATCH(Table1[[#This Row],[h_Item Description]],[1]!db[kode],0)))</f>
        <v/>
      </c>
      <c r="P143" s="93"/>
      <c r="Q143" s="94"/>
      <c r="S143" s="294" t="str">
        <f>Table1[[#This Row],[h_hargasetelahdiskon]]</f>
        <v/>
      </c>
      <c r="V143" s="95" t="str">
        <f ca="1">IF(Table1[[#This Row],[Item Description]]="","",IF(Table1[[#This Row],[//]]="",INDIRECT(ADDRESS(ROW()-1,COLUMN())),Table1[[#This Row],[//]]))</f>
        <v/>
      </c>
      <c r="W143" s="95" t="str">
        <f ca="1">IF(Table1[[#This Row],[h_id]]="","",COUNTIF(Table1[h_id],Table1[[#This Row],[h_id]]))</f>
        <v/>
      </c>
      <c r="X143" s="93" t="str">
        <f>IF(Table1[Item Description]="","",Table1[[#This Row],[Qty]]*Table1[[#This Row],[Unit Price]])</f>
        <v/>
      </c>
      <c r="Y143" s="93" t="str">
        <f>IF(Table1[[#This Row],[h_hargasebelumdiskon]]="","",IF(Table1[[#This Row],[Disc 1]]="",0,Table1[[#This Row],[h_hargasebelumdiskon]]*Table1[[#This Row],[Disc 1]]))</f>
        <v/>
      </c>
      <c r="Z143" s="93" t="str">
        <f>IF(Table1[[#This Row],[h_hargasebelumdiskon]]="","",IF(Table1[[#This Row],[Disc 2]]="",0,(Table1[[#This Row],[h_hargasebelumdiskon]]-Table1[[#This Row],[h_disc 1]])*Table1[[#This Row],[Disc 2]]))</f>
        <v/>
      </c>
      <c r="AA143" s="93" t="str">
        <f>IF(Table1[Item Description]="","",Table1[[#This Row],[h_disc 1]]+Table1[[#This Row],[h_disc 2]])</f>
        <v/>
      </c>
      <c r="AB143" s="93" t="str">
        <f>IF(Table1[Item Description]="","",Table1[[#This Row],[h_hargasebelumdiskon]]-Table1[[#This Row],[h_diskon]])</f>
        <v/>
      </c>
      <c r="AC143" s="93" t="str">
        <f>IF(Table1[//]="","",SUMIF(Table1[h_id],Table1[h_id],Table1[h_hargasetelahdiskon]))</f>
        <v/>
      </c>
      <c r="AD143" s="93"/>
      <c r="AE143" s="93" t="str">
        <f>Table1[[#This Row],[Item Description]]&amp;Table1[[#This Row],[Unit]]&amp;Table1[[#This Row],[Unit Price]]</f>
        <v/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D144" s="292"/>
      <c r="E144" s="293"/>
      <c r="F144" s="292"/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N144" s="291" t="str">
        <f>IF(Table1[[#This Row],[h_Item Description]]="","",INDEX([1]!db[NB PAJAK],MATCH(Table1[[#This Row],[h_Item Description]],[1]!db[kode],0)))</f>
        <v/>
      </c>
      <c r="P144" s="93"/>
      <c r="Q144" s="94"/>
      <c r="S144" s="294" t="str">
        <f>Table1[[#This Row],[h_hargasetelahdiskon]]</f>
        <v/>
      </c>
      <c r="V144" s="95" t="str">
        <f ca="1">IF(Table1[[#This Row],[Item Description]]="","",IF(Table1[[#This Row],[//]]="",INDIRECT(ADDRESS(ROW()-1,COLUMN())),Table1[[#This Row],[//]]))</f>
        <v/>
      </c>
      <c r="W144" s="95" t="str">
        <f ca="1">IF(Table1[[#This Row],[h_id]]="","",COUNTIF(Table1[h_id],Table1[[#This Row],[h_id]]))</f>
        <v/>
      </c>
      <c r="X144" s="93" t="str">
        <f>IF(Table1[Item Description]="","",Table1[[#This Row],[Qty]]*Table1[[#This Row],[Unit Price]])</f>
        <v/>
      </c>
      <c r="Y144" s="93" t="str">
        <f>IF(Table1[[#This Row],[h_hargasebelumdiskon]]="","",IF(Table1[[#This Row],[Disc 1]]="",0,Table1[[#This Row],[h_hargasebelumdiskon]]*Table1[[#This Row],[Disc 1]]))</f>
        <v/>
      </c>
      <c r="Z144" s="93" t="str">
        <f>IF(Table1[[#This Row],[h_hargasebelumdiskon]]="","",IF(Table1[[#This Row],[Disc 2]]="",0,(Table1[[#This Row],[h_hargasebelumdiskon]]-Table1[[#This Row],[h_disc 1]])*Table1[[#This Row],[Disc 2]]))</f>
        <v/>
      </c>
      <c r="AA144" s="93" t="str">
        <f>IF(Table1[Item Description]="","",Table1[[#This Row],[h_disc 1]]+Table1[[#This Row],[h_disc 2]])</f>
        <v/>
      </c>
      <c r="AB144" s="93" t="str">
        <f>IF(Table1[Item Description]="","",Table1[[#This Row],[h_hargasebelumdiskon]]-Table1[[#This Row],[h_diskon]])</f>
        <v/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/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D145" s="292"/>
      <c r="E145" s="293"/>
      <c r="F145" s="292"/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N145" s="291" t="str">
        <f>IF(Table1[[#This Row],[h_Item Description]]="","",INDEX([1]!db[NB PAJAK],MATCH(Table1[[#This Row],[h_Item Description]],[1]!db[kode],0)))</f>
        <v/>
      </c>
      <c r="P145" s="93"/>
      <c r="Q145" s="94"/>
      <c r="S145" s="294" t="str">
        <f>Table1[[#This Row],[h_hargasetelahdiskon]]</f>
        <v/>
      </c>
      <c r="V145" s="95" t="str">
        <f ca="1">IF(Table1[[#This Row],[Item Description]]="","",IF(Table1[[#This Row],[//]]="",INDIRECT(ADDRESS(ROW()-1,COLUMN())),Table1[[#This Row],[//]]))</f>
        <v/>
      </c>
      <c r="W145" s="95" t="str">
        <f ca="1">IF(Table1[[#This Row],[h_id]]="","",COUNTIF(Table1[h_id],Table1[[#This Row],[h_id]]))</f>
        <v/>
      </c>
      <c r="X145" s="93" t="str">
        <f>IF(Table1[Item Description]="","",Table1[[#This Row],[Qty]]*Table1[[#This Row],[Unit Price]])</f>
        <v/>
      </c>
      <c r="Y145" s="93" t="str">
        <f>IF(Table1[[#This Row],[h_hargasebelumdiskon]]="","",IF(Table1[[#This Row],[Disc 1]]="",0,Table1[[#This Row],[h_hargasebelumdiskon]]*Table1[[#This Row],[Disc 1]]))</f>
        <v/>
      </c>
      <c r="Z145" s="93" t="str">
        <f>IF(Table1[[#This Row],[h_hargasebelumdiskon]]="","",IF(Table1[[#This Row],[Disc 2]]="",0,(Table1[[#This Row],[h_hargasebelumdiskon]]-Table1[[#This Row],[h_disc 1]])*Table1[[#This Row],[Disc 2]]))</f>
        <v/>
      </c>
      <c r="AA145" s="93" t="str">
        <f>IF(Table1[Item Description]="","",Table1[[#This Row],[h_disc 1]]+Table1[[#This Row],[h_disc 2]])</f>
        <v/>
      </c>
      <c r="AB145" s="93" t="str">
        <f>IF(Table1[Item Description]="","",Table1[[#This Row],[h_hargasebelumdiskon]]-Table1[[#This Row],[h_diskon]])</f>
        <v/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/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N146" s="291" t="str">
        <f>IF(Table1[[#This Row],[h_Item Description]]="","",INDEX([1]!db[NB PAJAK],MATCH(Table1[[#This Row],[h_Item Description]],[1]!db[kode],0)))</f>
        <v/>
      </c>
      <c r="P146" s="93"/>
      <c r="Q146" s="94"/>
      <c r="S146" s="294" t="str">
        <f>Table1[[#This Row],[h_hargasetelahdiskon]]</f>
        <v/>
      </c>
      <c r="V146" s="95" t="str">
        <f ca="1">IF(Table1[[#This Row],[Item Description]]="","",IF(Table1[[#This Row],[//]]="",INDIRECT(ADDRESS(ROW()-1,COLUMN())),Table1[[#This Row],[//]]))</f>
        <v/>
      </c>
      <c r="W146" s="95" t="str">
        <f ca="1">IF(Table1[[#This Row],[h_id]]="","",COUNTIF(Table1[h_id],Table1[[#This Row],[h_id]]))</f>
        <v/>
      </c>
      <c r="X146" s="93" t="str">
        <f>IF(Table1[Item Description]="","",Table1[[#This Row],[Qty]]*Table1[[#This Row],[Unit Price]])</f>
        <v/>
      </c>
      <c r="Y146" s="93" t="str">
        <f>IF(Table1[[#This Row],[h_hargasebelumdiskon]]="","",IF(Table1[[#This Row],[Disc 1]]="",0,Table1[[#This Row],[h_hargasebelumdiskon]]*Table1[[#This Row],[Disc 1]]))</f>
        <v/>
      </c>
      <c r="Z146" s="93" t="str">
        <f>IF(Table1[[#This Row],[h_hargasebelumdiskon]]="","",IF(Table1[[#This Row],[Disc 2]]="",0,(Table1[[#This Row],[h_hargasebelumdiskon]]-Table1[[#This Row],[h_disc 1]])*Table1[[#This Row],[Disc 2]]))</f>
        <v/>
      </c>
      <c r="AA146" s="93" t="str">
        <f>IF(Table1[Item Description]="","",Table1[[#This Row],[h_disc 1]]+Table1[[#This Row],[h_disc 2]])</f>
        <v/>
      </c>
      <c r="AB146" s="93" t="str">
        <f>IF(Table1[Item Description]="","",Table1[[#This Row],[h_hargasebelumdiskon]]-Table1[[#This Row],[h_diskon]])</f>
        <v/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/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N147" s="291" t="str">
        <f>IF(Table1[[#This Row],[h_Item Description]]="","",INDEX([1]!db[NB PAJAK],MATCH(Table1[[#This Row],[h_Item Description]],[1]!db[kode],0)))</f>
        <v/>
      </c>
      <c r="P147" s="93"/>
      <c r="Q147" s="94"/>
      <c r="S147" s="294" t="str">
        <f>Table1[[#This Row],[h_hargasetelahdiskon]]</f>
        <v/>
      </c>
      <c r="V147" s="95" t="str">
        <f ca="1">IF(Table1[[#This Row],[Item Description]]="","",IF(Table1[[#This Row],[//]]="",INDIRECT(ADDRESS(ROW()-1,COLUMN())),Table1[[#This Row],[//]]))</f>
        <v/>
      </c>
      <c r="W147" s="95" t="str">
        <f ca="1">IF(Table1[[#This Row],[h_id]]="","",COUNTIF(Table1[h_id],Table1[[#This Row],[h_id]]))</f>
        <v/>
      </c>
      <c r="X147" s="93" t="str">
        <f>IF(Table1[Item Description]="","",Table1[[#This Row],[Qty]]*Table1[[#This Row],[Unit Price]])</f>
        <v/>
      </c>
      <c r="Y147" s="93" t="str">
        <f>IF(Table1[[#This Row],[h_hargasebelumdiskon]]="","",IF(Table1[[#This Row],[Disc 1]]="",0,Table1[[#This Row],[h_hargasebelumdiskon]]*Table1[[#This Row],[Disc 1]]))</f>
        <v/>
      </c>
      <c r="Z147" s="93" t="str">
        <f>IF(Table1[[#This Row],[h_hargasebelumdiskon]]="","",IF(Table1[[#This Row],[Disc 2]]="",0,(Table1[[#This Row],[h_hargasebelumdiskon]]-Table1[[#This Row],[h_disc 1]])*Table1[[#This Row],[Disc 2]]))</f>
        <v/>
      </c>
      <c r="AA147" s="93" t="str">
        <f>IF(Table1[Item Description]="","",Table1[[#This Row],[h_disc 1]]+Table1[[#This Row],[h_disc 2]])</f>
        <v/>
      </c>
      <c r="AB147" s="93" t="str">
        <f>IF(Table1[Item Description]="","",Table1[[#This Row],[h_hargasebelumdiskon]]-Table1[[#This Row],[h_diskon]])</f>
        <v/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/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 t="str">
        <f>IF(Table1[[#This Row],[No. Invoice :]]="","",ROW())</f>
        <v/>
      </c>
      <c r="B149" s="291" t="str">
        <f>IF(Table1[h_Kode Sales :_1]="","",B$1+COUNT(B$2:B148))</f>
        <v/>
      </c>
      <c r="G149" s="95" t="str">
        <f>IF(Table1[[#This Row],[h_No. Invoice :]]="","",CONCATENATE("AM"," ",Table1[[#This Row],[h_No. Invoice :]]))</f>
        <v/>
      </c>
      <c r="H149" s="96" t="str">
        <f>CONCATENATE(UPPER(Table1[[#This Row],[h_Kode Sales :_1]])," ",Table1[[#This Row],[h_Kode Sales :_2]])</f>
        <v xml:space="preserve"> </v>
      </c>
      <c r="I149" s="95" t="str">
        <f>IF(Table1[[#This Row],[h_toko]]="","",INDEX(Table2[e],IF(Table1[[#This Row],[h_toko]]="","",MATCH(Table1[[#This Row],[h_toko]],Table2[a],0)),))</f>
        <v/>
      </c>
      <c r="N149" s="291" t="str">
        <f>IF(Table1[[#This Row],[h_Item Description]]="","",INDEX([1]!db[NB PAJAK],MATCH(Table1[[#This Row],[h_Item Description]],[1]!db[kode],0)))</f>
        <v/>
      </c>
      <c r="P149" s="93"/>
      <c r="Q149" s="94"/>
      <c r="S149" s="294" t="str">
        <f>Table1[[#This Row],[h_hargasetelahdiskon]]</f>
        <v/>
      </c>
      <c r="V149" s="95" t="str">
        <f ca="1">IF(Table1[[#This Row],[Item Description]]="","",IF(Table1[[#This Row],[//]]="",INDIRECT(ADDRESS(ROW()-1,COLUMN())),Table1[[#This Row],[//]]))</f>
        <v/>
      </c>
      <c r="W149" s="95" t="str">
        <f ca="1">IF(Table1[[#This Row],[h_id]]="","",COUNTIF(Table1[h_id],Table1[[#This Row],[h_id]]))</f>
        <v/>
      </c>
      <c r="X149" s="93" t="str">
        <f>IF(Table1[Item Description]="","",Table1[[#This Row],[Qty]]*Table1[[#This Row],[Unit Price]])</f>
        <v/>
      </c>
      <c r="Y149" s="93" t="str">
        <f>IF(Table1[[#This Row],[h_hargasebelumdiskon]]="","",IF(Table1[[#This Row],[Disc 1]]="",0,Table1[[#This Row],[h_hargasebelumdiskon]]*Table1[[#This Row],[Disc 1]]))</f>
        <v/>
      </c>
      <c r="Z149" s="93" t="str">
        <f>IF(Table1[[#This Row],[h_hargasebelumdiskon]]="","",IF(Table1[[#This Row],[Disc 2]]="",0,(Table1[[#This Row],[h_hargasebelumdiskon]]-Table1[[#This Row],[h_disc 1]])*Table1[[#This Row],[Disc 2]]))</f>
        <v/>
      </c>
      <c r="AA149" s="93" t="str">
        <f>IF(Table1[Item Description]="","",Table1[[#This Row],[h_disc 1]]+Table1[[#This Row],[h_disc 2]])</f>
        <v/>
      </c>
      <c r="AB149" s="93" t="str">
        <f>IF(Table1[Item Description]="","",Table1[[#This Row],[h_hargasebelumdiskon]]-Table1[[#This Row],[h_diskon]])</f>
        <v/>
      </c>
      <c r="AC149" s="93" t="str">
        <f>IF(Table1[//]="","",SUMIF(Table1[h_id],Table1[h_id],Table1[h_hargasetelahdiskon]))</f>
        <v/>
      </c>
      <c r="AD149" s="93"/>
      <c r="AE149" s="93" t="str">
        <f>Table1[[#This Row],[Item Description]]&amp;Table1[[#This Row],[Unit]]&amp;Table1[[#This Row],[Unit Price]]</f>
        <v/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N150" s="291" t="str">
        <f>IF(Table1[[#This Row],[h_Item Description]]="","",INDEX([1]!db[NB PAJAK],MATCH(Table1[[#This Row],[h_Item Description]],[1]!db[kode],0)))</f>
        <v/>
      </c>
      <c r="P150" s="93"/>
      <c r="Q150" s="94"/>
      <c r="S150" s="294" t="str">
        <f>Table1[[#This Row],[h_hargasetelahdiskon]]</f>
        <v/>
      </c>
      <c r="V150" s="95" t="str">
        <f ca="1">IF(Table1[[#This Row],[Item Description]]="","",IF(Table1[[#This Row],[//]]="",INDIRECT(ADDRESS(ROW()-1,COLUMN())),Table1[[#This Row],[//]]))</f>
        <v/>
      </c>
      <c r="W150" s="95" t="str">
        <f ca="1">IF(Table1[[#This Row],[h_id]]="","",COUNTIF(Table1[h_id],Table1[[#This Row],[h_id]]))</f>
        <v/>
      </c>
      <c r="X150" s="93" t="str">
        <f>IF(Table1[Item Description]="","",Table1[[#This Row],[Qty]]*Table1[[#This Row],[Unit Price]])</f>
        <v/>
      </c>
      <c r="Y150" s="93" t="str">
        <f>IF(Table1[[#This Row],[h_hargasebelumdiskon]]="","",IF(Table1[[#This Row],[Disc 1]]="",0,Table1[[#This Row],[h_hargasebelumdiskon]]*Table1[[#This Row],[Disc 1]]))</f>
        <v/>
      </c>
      <c r="Z150" s="93" t="str">
        <f>IF(Table1[[#This Row],[h_hargasebelumdiskon]]="","",IF(Table1[[#This Row],[Disc 2]]="",0,(Table1[[#This Row],[h_hargasebelumdiskon]]-Table1[[#This Row],[h_disc 1]])*Table1[[#This Row],[Disc 2]]))</f>
        <v/>
      </c>
      <c r="AA150" s="93" t="str">
        <f>IF(Table1[Item Description]="","",Table1[[#This Row],[h_disc 1]]+Table1[[#This Row],[h_disc 2]])</f>
        <v/>
      </c>
      <c r="AB150" s="93" t="str">
        <f>IF(Table1[Item Description]="","",Table1[[#This Row],[h_hargasebelumdiskon]]-Table1[[#This Row],[h_diskon]])</f>
        <v/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/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 t="str">
        <f>IF(Table1[[#This Row],[No. Invoice :]]="","",ROW())</f>
        <v/>
      </c>
      <c r="B152" s="291" t="str">
        <f>IF(Table1[h_Kode Sales :_1]="","",B$1+COUNT(B$2:B151))</f>
        <v/>
      </c>
      <c r="G152" s="95" t="str">
        <f>IF(Table1[[#This Row],[h_No. Invoice :]]="","",CONCATENATE("AM"," ",Table1[[#This Row],[h_No. Invoice :]]))</f>
        <v/>
      </c>
      <c r="H152" s="96" t="str">
        <f>CONCATENATE(UPPER(Table1[[#This Row],[h_Kode Sales :_1]])," ",Table1[[#This Row],[h_Kode Sales :_2]])</f>
        <v xml:space="preserve"> </v>
      </c>
      <c r="I152" s="95" t="str">
        <f>IF(Table1[[#This Row],[h_toko]]="","",INDEX(Table2[e],IF(Table1[[#This Row],[h_toko]]="","",MATCH(Table1[[#This Row],[h_toko]],Table2[a],0)),))</f>
        <v/>
      </c>
      <c r="N152" s="291" t="str">
        <f>IF(Table1[[#This Row],[h_Item Description]]="","",INDEX([1]!db[NB PAJAK],MATCH(Table1[[#This Row],[h_Item Description]],[1]!db[kode],0)))</f>
        <v/>
      </c>
      <c r="P152" s="93"/>
      <c r="Q152" s="94"/>
      <c r="S152" s="294" t="str">
        <f>Table1[[#This Row],[h_hargasetelahdiskon]]</f>
        <v/>
      </c>
      <c r="V152" s="95" t="str">
        <f ca="1">IF(Table1[[#This Row],[Item Description]]="","",IF(Table1[[#This Row],[//]]="",INDIRECT(ADDRESS(ROW()-1,COLUMN())),Table1[[#This Row],[//]]))</f>
        <v/>
      </c>
      <c r="W152" s="95" t="str">
        <f ca="1">IF(Table1[[#This Row],[h_id]]="","",COUNTIF(Table1[h_id],Table1[[#This Row],[h_id]]))</f>
        <v/>
      </c>
      <c r="X152" s="93" t="str">
        <f>IF(Table1[Item Description]="","",Table1[[#This Row],[Qty]]*Table1[[#This Row],[Unit Price]])</f>
        <v/>
      </c>
      <c r="Y152" s="93" t="str">
        <f>IF(Table1[[#This Row],[h_hargasebelumdiskon]]="","",IF(Table1[[#This Row],[Disc 1]]="",0,Table1[[#This Row],[h_hargasebelumdiskon]]*Table1[[#This Row],[Disc 1]]))</f>
        <v/>
      </c>
      <c r="Z152" s="93" t="str">
        <f>IF(Table1[[#This Row],[h_hargasebelumdiskon]]="","",IF(Table1[[#This Row],[Disc 2]]="",0,(Table1[[#This Row],[h_hargasebelumdiskon]]-Table1[[#This Row],[h_disc 1]])*Table1[[#This Row],[Disc 2]]))</f>
        <v/>
      </c>
      <c r="AA152" s="93" t="str">
        <f>IF(Table1[Item Description]="","",Table1[[#This Row],[h_disc 1]]+Table1[[#This Row],[h_disc 2]])</f>
        <v/>
      </c>
      <c r="AB152" s="93" t="str">
        <f>IF(Table1[Item Description]="","",Table1[[#This Row],[h_hargasebelumdiskon]]-Table1[[#This Row],[h_diskon]])</f>
        <v/>
      </c>
      <c r="AC152" s="93" t="str">
        <f>IF(Table1[//]="","",SUMIF(Table1[h_id],Table1[h_id],Table1[h_hargasetelahdiskon]))</f>
        <v/>
      </c>
      <c r="AD152" s="93"/>
      <c r="AE152" s="93" t="str">
        <f>Table1[[#This Row],[Item Description]]&amp;Table1[[#This Row],[Unit]]&amp;Table1[[#This Row],[Unit Price]]</f>
        <v/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 t="str">
        <f>IF(Table1[[#This Row],[No. Invoice :]]="","",ROW())</f>
        <v/>
      </c>
      <c r="B154" s="291" t="str">
        <f>IF(Table1[h_Kode Sales :_1]="","",B$1+COUNT(B$2:B153))</f>
        <v/>
      </c>
      <c r="D154" s="292"/>
      <c r="E154" s="293"/>
      <c r="F154" s="292"/>
      <c r="G154" s="95" t="str">
        <f>IF(Table1[[#This Row],[h_No. Invoice :]]="","",CONCATENATE("AM"," ",Table1[[#This Row],[h_No. Invoice :]]))</f>
        <v/>
      </c>
      <c r="H154" s="96" t="str">
        <f>CONCATENATE(UPPER(Table1[[#This Row],[h_Kode Sales :_1]])," ",Table1[[#This Row],[h_Kode Sales :_2]])</f>
        <v xml:space="preserve"> </v>
      </c>
      <c r="I154" s="95" t="str">
        <f>IF(Table1[[#This Row],[h_toko]]="","",INDEX(Table2[e],IF(Table1[[#This Row],[h_toko]]="","",MATCH(Table1[[#This Row],[h_toko]],Table2[a],0)),))</f>
        <v/>
      </c>
      <c r="N154" s="291" t="str">
        <f>IF(Table1[[#This Row],[h_Item Description]]="","",INDEX([1]!db[NB PAJAK],MATCH(Table1[[#This Row],[h_Item Description]],[1]!db[kode],0)))</f>
        <v/>
      </c>
      <c r="P154" s="93"/>
      <c r="Q154" s="94"/>
      <c r="S154" s="294" t="str">
        <f>Table1[[#This Row],[h_hargasetelahdiskon]]</f>
        <v/>
      </c>
      <c r="V154" s="95" t="str">
        <f ca="1">IF(Table1[[#This Row],[Item Description]]="","",IF(Table1[[#This Row],[//]]="",INDIRECT(ADDRESS(ROW()-1,COLUMN())),Table1[[#This Row],[//]]))</f>
        <v/>
      </c>
      <c r="W154" s="95" t="str">
        <f ca="1">IF(Table1[[#This Row],[h_id]]="","",COUNTIF(Table1[h_id],Table1[[#This Row],[h_id]]))</f>
        <v/>
      </c>
      <c r="X154" s="93" t="str">
        <f>IF(Table1[Item Description]="","",Table1[[#This Row],[Qty]]*Table1[[#This Row],[Unit Price]])</f>
        <v/>
      </c>
      <c r="Y154" s="93" t="str">
        <f>IF(Table1[[#This Row],[h_hargasebelumdiskon]]="","",IF(Table1[[#This Row],[Disc 1]]="",0,Table1[[#This Row],[h_hargasebelumdiskon]]*Table1[[#This Row],[Disc 1]]))</f>
        <v/>
      </c>
      <c r="Z154" s="93" t="str">
        <f>IF(Table1[[#This Row],[h_hargasebelumdiskon]]="","",IF(Table1[[#This Row],[Disc 2]]="",0,(Table1[[#This Row],[h_hargasebelumdiskon]]-Table1[[#This Row],[h_disc 1]])*Table1[[#This Row],[Disc 2]]))</f>
        <v/>
      </c>
      <c r="AA154" s="93" t="str">
        <f>IF(Table1[Item Description]="","",Table1[[#This Row],[h_disc 1]]+Table1[[#This Row],[h_disc 2]])</f>
        <v/>
      </c>
      <c r="AB154" s="93" t="str">
        <f>IF(Table1[Item Description]="","",Table1[[#This Row],[h_hargasebelumdiskon]]-Table1[[#This Row],[h_diskon]])</f>
        <v/>
      </c>
      <c r="AC154" s="93" t="str">
        <f>IF(Table1[//]="","",SUMIF(Table1[h_id],Table1[h_id],Table1[h_hargasetelahdiskon]))</f>
        <v/>
      </c>
      <c r="AD154" s="93"/>
      <c r="AE154" s="93" t="str">
        <f>Table1[[#This Row],[Item Description]]&amp;Table1[[#This Row],[Unit]]&amp;Table1[[#This Row],[Unit Price]]</f>
        <v/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 t="str">
        <f>IF(Table1[[#This Row],[No. Invoice :]]="","",ROW())</f>
        <v/>
      </c>
      <c r="B156" s="291" t="str">
        <f>IF(Table1[h_Kode Sales :_1]="","",B$1+COUNT(B$2:B155))</f>
        <v/>
      </c>
      <c r="D156" s="292"/>
      <c r="E156" s="293"/>
      <c r="F156" s="292"/>
      <c r="G156" s="95" t="str">
        <f>IF(Table1[[#This Row],[h_No. Invoice :]]="","",CONCATENATE("AM"," ",Table1[[#This Row],[h_No. Invoice :]]))</f>
        <v/>
      </c>
      <c r="H156" s="96" t="str">
        <f>CONCATENATE(UPPER(Table1[[#This Row],[h_Kode Sales :_1]])," ",Table1[[#This Row],[h_Kode Sales :_2]])</f>
        <v xml:space="preserve"> </v>
      </c>
      <c r="I156" s="95" t="str">
        <f>IF(Table1[[#This Row],[h_toko]]="","",INDEX(Table2[e],IF(Table1[[#This Row],[h_toko]]="","",MATCH(Table1[[#This Row],[h_toko]],Table2[a],0)),))</f>
        <v/>
      </c>
      <c r="N156" s="291" t="str">
        <f>IF(Table1[[#This Row],[h_Item Description]]="","",INDEX([1]!db[NB PAJAK],MATCH(Table1[[#This Row],[h_Item Description]],[1]!db[kode],0)))</f>
        <v/>
      </c>
      <c r="P156" s="93"/>
      <c r="Q156" s="94"/>
      <c r="S156" s="294" t="str">
        <f>Table1[[#This Row],[h_hargasetelahdiskon]]</f>
        <v/>
      </c>
      <c r="V156" s="95" t="str">
        <f ca="1">IF(Table1[[#This Row],[Item Description]]="","",IF(Table1[[#This Row],[//]]="",INDIRECT(ADDRESS(ROW()-1,COLUMN())),Table1[[#This Row],[//]]))</f>
        <v/>
      </c>
      <c r="W156" s="95" t="str">
        <f ca="1">IF(Table1[[#This Row],[h_id]]="","",COUNTIF(Table1[h_id],Table1[[#This Row],[h_id]]))</f>
        <v/>
      </c>
      <c r="X156" s="93" t="str">
        <f>IF(Table1[Item Description]="","",Table1[[#This Row],[Qty]]*Table1[[#This Row],[Unit Price]])</f>
        <v/>
      </c>
      <c r="Y156" s="93" t="str">
        <f>IF(Table1[[#This Row],[h_hargasebelumdiskon]]="","",IF(Table1[[#This Row],[Disc 1]]="",0,Table1[[#This Row],[h_hargasebelumdiskon]]*Table1[[#This Row],[Disc 1]]))</f>
        <v/>
      </c>
      <c r="Z156" s="93" t="str">
        <f>IF(Table1[[#This Row],[h_hargasebelumdiskon]]="","",IF(Table1[[#This Row],[Disc 2]]="",0,(Table1[[#This Row],[h_hargasebelumdiskon]]-Table1[[#This Row],[h_disc 1]])*Table1[[#This Row],[Disc 2]]))</f>
        <v/>
      </c>
      <c r="AA156" s="93" t="str">
        <f>IF(Table1[Item Description]="","",Table1[[#This Row],[h_disc 1]]+Table1[[#This Row],[h_disc 2]])</f>
        <v/>
      </c>
      <c r="AB156" s="93" t="str">
        <f>IF(Table1[Item Description]="","",Table1[[#This Row],[h_hargasebelumdiskon]]-Table1[[#This Row],[h_diskon]])</f>
        <v/>
      </c>
      <c r="AC156" s="93" t="str">
        <f>IF(Table1[//]="","",SUMIF(Table1[h_id],Table1[h_id],Table1[h_hargasetelahdiskon]))</f>
        <v/>
      </c>
      <c r="AD156" s="93"/>
      <c r="AE156" s="93" t="str">
        <f>Table1[[#This Row],[Item Description]]&amp;Table1[[#This Row],[Unit]]&amp;Table1[[#This Row],[Unit Price]]</f>
        <v/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N157" s="291" t="str">
        <f>IF(Table1[[#This Row],[h_Item Description]]="","",INDEX([1]!db[NB PAJAK],MATCH(Table1[[#This Row],[h_Item Description]],[1]!db[kode],0)))</f>
        <v/>
      </c>
      <c r="P157" s="93"/>
      <c r="Q157" s="94"/>
      <c r="S157" s="294" t="str">
        <f>Table1[[#This Row],[h_hargasetelahdiskon]]</f>
        <v/>
      </c>
      <c r="V157" s="95" t="str">
        <f ca="1">IF(Table1[[#This Row],[Item Description]]="","",IF(Table1[[#This Row],[//]]="",INDIRECT(ADDRESS(ROW()-1,COLUMN())),Table1[[#This Row],[//]]))</f>
        <v/>
      </c>
      <c r="W157" s="95" t="str">
        <f ca="1">IF(Table1[[#This Row],[h_id]]="","",COUNTIF(Table1[h_id],Table1[[#This Row],[h_id]]))</f>
        <v/>
      </c>
      <c r="X157" s="93" t="str">
        <f>IF(Table1[Item Description]="","",Table1[[#This Row],[Qty]]*Table1[[#This Row],[Unit Price]])</f>
        <v/>
      </c>
      <c r="Y157" s="93" t="str">
        <f>IF(Table1[[#This Row],[h_hargasebelumdiskon]]="","",IF(Table1[[#This Row],[Disc 1]]="",0,Table1[[#This Row],[h_hargasebelumdiskon]]*Table1[[#This Row],[Disc 1]]))</f>
        <v/>
      </c>
      <c r="Z157" s="93" t="str">
        <f>IF(Table1[[#This Row],[h_hargasebelumdiskon]]="","",IF(Table1[[#This Row],[Disc 2]]="",0,(Table1[[#This Row],[h_hargasebelumdiskon]]-Table1[[#This Row],[h_disc 1]])*Table1[[#This Row],[Disc 2]]))</f>
        <v/>
      </c>
      <c r="AA157" s="93" t="str">
        <f>IF(Table1[Item Description]="","",Table1[[#This Row],[h_disc 1]]+Table1[[#This Row],[h_disc 2]])</f>
        <v/>
      </c>
      <c r="AB157" s="93" t="str">
        <f>IF(Table1[Item Description]="","",Table1[[#This Row],[h_hargasebelumdiskon]]-Table1[[#This Row],[h_diskon]])</f>
        <v/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/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D158" s="292"/>
      <c r="E158" s="293"/>
      <c r="F158" s="292"/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N158" s="291" t="str">
        <f>IF(Table1[[#This Row],[h_Item Description]]="","",INDEX([1]!db[NB PAJAK],MATCH(Table1[[#This Row],[h_Item Description]],[1]!db[kode],0)))</f>
        <v/>
      </c>
      <c r="P158" s="93"/>
      <c r="Q158" s="94"/>
      <c r="S158" s="294" t="str">
        <f>Table1[[#This Row],[h_hargasetelahdiskon]]</f>
        <v/>
      </c>
      <c r="V158" s="95" t="str">
        <f ca="1">IF(Table1[[#This Row],[Item Description]]="","",IF(Table1[[#This Row],[//]]="",INDIRECT(ADDRESS(ROW()-1,COLUMN())),Table1[[#This Row],[//]]))</f>
        <v/>
      </c>
      <c r="W158" s="95" t="str">
        <f ca="1">IF(Table1[[#This Row],[h_id]]="","",COUNTIF(Table1[h_id],Table1[[#This Row],[h_id]]))</f>
        <v/>
      </c>
      <c r="X158" s="93" t="str">
        <f>IF(Table1[Item Description]="","",Table1[[#This Row],[Qty]]*Table1[[#This Row],[Unit Price]])</f>
        <v/>
      </c>
      <c r="Y158" s="93" t="str">
        <f>IF(Table1[[#This Row],[h_hargasebelumdiskon]]="","",IF(Table1[[#This Row],[Disc 1]]="",0,Table1[[#This Row],[h_hargasebelumdiskon]]*Table1[[#This Row],[Disc 1]]))</f>
        <v/>
      </c>
      <c r="Z158" s="93" t="str">
        <f>IF(Table1[[#This Row],[h_hargasebelumdiskon]]="","",IF(Table1[[#This Row],[Disc 2]]="",0,(Table1[[#This Row],[h_hargasebelumdiskon]]-Table1[[#This Row],[h_disc 1]])*Table1[[#This Row],[Disc 2]]))</f>
        <v/>
      </c>
      <c r="AA158" s="93" t="str">
        <f>IF(Table1[Item Description]="","",Table1[[#This Row],[h_disc 1]]+Table1[[#This Row],[h_disc 2]])</f>
        <v/>
      </c>
      <c r="AB158" s="93" t="str">
        <f>IF(Table1[Item Description]="","",Table1[[#This Row],[h_hargasebelumdiskon]]-Table1[[#This Row],[h_diskon]])</f>
        <v/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/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N159" s="291" t="str">
        <f>IF(Table1[[#This Row],[h_Item Description]]="","",INDEX([1]!db[NB PAJAK],MATCH(Table1[[#This Row],[h_Item Description]],[1]!db[kode],0)))</f>
        <v/>
      </c>
      <c r="P159" s="93"/>
      <c r="Q159" s="94"/>
      <c r="S159" s="294" t="str">
        <f>Table1[[#This Row],[h_hargasetelahdiskon]]</f>
        <v/>
      </c>
      <c r="V159" s="95" t="str">
        <f ca="1">IF(Table1[[#This Row],[Item Description]]="","",IF(Table1[[#This Row],[//]]="",INDIRECT(ADDRESS(ROW()-1,COLUMN())),Table1[[#This Row],[//]]))</f>
        <v/>
      </c>
      <c r="W159" s="95" t="str">
        <f ca="1">IF(Table1[[#This Row],[h_id]]="","",COUNTIF(Table1[h_id],Table1[[#This Row],[h_id]]))</f>
        <v/>
      </c>
      <c r="X159" s="93" t="str">
        <f>IF(Table1[Item Description]="","",Table1[[#This Row],[Qty]]*Table1[[#This Row],[Unit Price]])</f>
        <v/>
      </c>
      <c r="Y159" s="93" t="str">
        <f>IF(Table1[[#This Row],[h_hargasebelumdiskon]]="","",IF(Table1[[#This Row],[Disc 1]]="",0,Table1[[#This Row],[h_hargasebelumdiskon]]*Table1[[#This Row],[Disc 1]]))</f>
        <v/>
      </c>
      <c r="Z159" s="93" t="str">
        <f>IF(Table1[[#This Row],[h_hargasebelumdiskon]]="","",IF(Table1[[#This Row],[Disc 2]]="",0,(Table1[[#This Row],[h_hargasebelumdiskon]]-Table1[[#This Row],[h_disc 1]])*Table1[[#This Row],[Disc 2]]))</f>
        <v/>
      </c>
      <c r="AA159" s="93" t="str">
        <f>IF(Table1[Item Description]="","",Table1[[#This Row],[h_disc 1]]+Table1[[#This Row],[h_disc 2]])</f>
        <v/>
      </c>
      <c r="AB159" s="93" t="str">
        <f>IF(Table1[Item Description]="","",Table1[[#This Row],[h_hargasebelumdiskon]]-Table1[[#This Row],[h_diskon]])</f>
        <v/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/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 t="str">
        <f>IF(Table1[[#This Row],[No. Invoice :]]="","",ROW())</f>
        <v/>
      </c>
      <c r="B161" s="291" t="str">
        <f>IF(Table1[h_Kode Sales :_1]="","",B$1+COUNT(B$2:B160))</f>
        <v/>
      </c>
      <c r="D161" s="292"/>
      <c r="E161" s="293"/>
      <c r="F161" s="292"/>
      <c r="G161" s="95" t="str">
        <f>IF(Table1[[#This Row],[h_No. Invoice :]]="","",CONCATENATE("AM"," ",Table1[[#This Row],[h_No. Invoice :]]))</f>
        <v/>
      </c>
      <c r="H161" s="96" t="str">
        <f>CONCATENATE(UPPER(Table1[[#This Row],[h_Kode Sales :_1]])," ",Table1[[#This Row],[h_Kode Sales :_2]])</f>
        <v xml:space="preserve"> </v>
      </c>
      <c r="I161" s="95" t="str">
        <f>IF(Table1[[#This Row],[h_toko]]="","",INDEX(Table2[e],IF(Table1[[#This Row],[h_toko]]="","",MATCH(Table1[[#This Row],[h_toko]],Table2[a],0)),))</f>
        <v/>
      </c>
      <c r="N161" s="291" t="str">
        <f>IF(Table1[[#This Row],[h_Item Description]]="","",INDEX([1]!db[NB PAJAK],MATCH(Table1[[#This Row],[h_Item Description]],[1]!db[kode],0)))</f>
        <v/>
      </c>
      <c r="P161" s="93"/>
      <c r="Q161" s="94"/>
      <c r="S161" s="294" t="str">
        <f>Table1[[#This Row],[h_hargasetelahdiskon]]</f>
        <v/>
      </c>
      <c r="V161" s="95" t="str">
        <f ca="1">IF(Table1[[#This Row],[Item Description]]="","",IF(Table1[[#This Row],[//]]="",INDIRECT(ADDRESS(ROW()-1,COLUMN())),Table1[[#This Row],[//]]))</f>
        <v/>
      </c>
      <c r="W161" s="95" t="str">
        <f ca="1">IF(Table1[[#This Row],[h_id]]="","",COUNTIF(Table1[h_id],Table1[[#This Row],[h_id]]))</f>
        <v/>
      </c>
      <c r="X161" s="93" t="str">
        <f>IF(Table1[Item Description]="","",Table1[[#This Row],[Qty]]*Table1[[#This Row],[Unit Price]])</f>
        <v/>
      </c>
      <c r="Y161" s="93" t="str">
        <f>IF(Table1[[#This Row],[h_hargasebelumdiskon]]="","",IF(Table1[[#This Row],[Disc 1]]="",0,Table1[[#This Row],[h_hargasebelumdiskon]]*Table1[[#This Row],[Disc 1]]))</f>
        <v/>
      </c>
      <c r="Z161" s="93" t="str">
        <f>IF(Table1[[#This Row],[h_hargasebelumdiskon]]="","",IF(Table1[[#This Row],[Disc 2]]="",0,(Table1[[#This Row],[h_hargasebelumdiskon]]-Table1[[#This Row],[h_disc 1]])*Table1[[#This Row],[Disc 2]]))</f>
        <v/>
      </c>
      <c r="AA161" s="93" t="str">
        <f>IF(Table1[Item Description]="","",Table1[[#This Row],[h_disc 1]]+Table1[[#This Row],[h_disc 2]])</f>
        <v/>
      </c>
      <c r="AB161" s="93" t="str">
        <f>IF(Table1[Item Description]="","",Table1[[#This Row],[h_hargasebelumdiskon]]-Table1[[#This Row],[h_diskon]])</f>
        <v/>
      </c>
      <c r="AC161" s="93" t="str">
        <f>IF(Table1[//]="","",SUMIF(Table1[h_id],Table1[h_id],Table1[h_hargasetelahdiskon]))</f>
        <v/>
      </c>
      <c r="AD161" s="93"/>
      <c r="AE161" s="93" t="str">
        <f>Table1[[#This Row],[Item Description]]&amp;Table1[[#This Row],[Unit]]&amp;Table1[[#This Row],[Unit Price]]</f>
        <v/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 t="str">
        <f>IF(Table1[[#This Row],[No. Invoice :]]="","",ROW())</f>
        <v/>
      </c>
      <c r="B163" s="291" t="str">
        <f>IF(Table1[h_Kode Sales :_1]="","",B$1+COUNT(B$2:B162))</f>
        <v/>
      </c>
      <c r="D163" s="292"/>
      <c r="E163" s="293"/>
      <c r="F163" s="292"/>
      <c r="G163" s="95" t="str">
        <f>IF(Table1[[#This Row],[h_No. Invoice :]]="","",CONCATENATE("AM"," ",Table1[[#This Row],[h_No. Invoice :]]))</f>
        <v/>
      </c>
      <c r="H163" s="96" t="str">
        <f>CONCATENATE(UPPER(Table1[[#This Row],[h_Kode Sales :_1]])," ",Table1[[#This Row],[h_Kode Sales :_2]])</f>
        <v xml:space="preserve"> </v>
      </c>
      <c r="I163" s="95" t="str">
        <f>IF(Table1[[#This Row],[h_toko]]="","",INDEX(Table2[e],IF(Table1[[#This Row],[h_toko]]="","",MATCH(Table1[[#This Row],[h_toko]],Table2[a],0)),))</f>
        <v/>
      </c>
      <c r="N163" s="291" t="str">
        <f>IF(Table1[[#This Row],[h_Item Description]]="","",INDEX([1]!db[NB PAJAK],MATCH(Table1[[#This Row],[h_Item Description]],[1]!db[kode],0)))</f>
        <v/>
      </c>
      <c r="P163" s="93"/>
      <c r="Q163" s="94"/>
      <c r="S163" s="294" t="str">
        <f>Table1[[#This Row],[h_hargasetelahdiskon]]</f>
        <v/>
      </c>
      <c r="V163" s="95" t="str">
        <f ca="1">IF(Table1[[#This Row],[Item Description]]="","",IF(Table1[[#This Row],[//]]="",INDIRECT(ADDRESS(ROW()-1,COLUMN())),Table1[[#This Row],[//]]))</f>
        <v/>
      </c>
      <c r="W163" s="95" t="str">
        <f ca="1">IF(Table1[[#This Row],[h_id]]="","",COUNTIF(Table1[h_id],Table1[[#This Row],[h_id]]))</f>
        <v/>
      </c>
      <c r="X163" s="93" t="str">
        <f>IF(Table1[Item Description]="","",Table1[[#This Row],[Qty]]*Table1[[#This Row],[Unit Price]])</f>
        <v/>
      </c>
      <c r="Y163" s="93" t="str">
        <f>IF(Table1[[#This Row],[h_hargasebelumdiskon]]="","",IF(Table1[[#This Row],[Disc 1]]="",0,Table1[[#This Row],[h_hargasebelumdiskon]]*Table1[[#This Row],[Disc 1]]))</f>
        <v/>
      </c>
      <c r="Z163" s="93" t="str">
        <f>IF(Table1[[#This Row],[h_hargasebelumdiskon]]="","",IF(Table1[[#This Row],[Disc 2]]="",0,(Table1[[#This Row],[h_hargasebelumdiskon]]-Table1[[#This Row],[h_disc 1]])*Table1[[#This Row],[Disc 2]]))</f>
        <v/>
      </c>
      <c r="AA163" s="93" t="str">
        <f>IF(Table1[Item Description]="","",Table1[[#This Row],[h_disc 1]]+Table1[[#This Row],[h_disc 2]])</f>
        <v/>
      </c>
      <c r="AB163" s="93" t="str">
        <f>IF(Table1[Item Description]="","",Table1[[#This Row],[h_hargasebelumdiskon]]-Table1[[#This Row],[h_diskon]])</f>
        <v/>
      </c>
      <c r="AC163" s="93" t="str">
        <f>IF(Table1[//]="","",SUMIF(Table1[h_id],Table1[h_id],Table1[h_hargasetelahdiskon]))</f>
        <v/>
      </c>
      <c r="AD163" s="93"/>
      <c r="AE163" s="93" t="str">
        <f>Table1[[#This Row],[Item Description]]&amp;Table1[[#This Row],[Unit]]&amp;Table1[[#This Row],[Unit Price]]</f>
        <v/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N164" s="291" t="str">
        <f>IF(Table1[[#This Row],[h_Item Description]]="","",INDEX([1]!db[NB PAJAK],MATCH(Table1[[#This Row],[h_Item Description]],[1]!db[kode],0)))</f>
        <v/>
      </c>
      <c r="P164" s="93"/>
      <c r="Q164" s="94"/>
      <c r="S164" s="294" t="str">
        <f>Table1[[#This Row],[h_hargasetelahdiskon]]</f>
        <v/>
      </c>
      <c r="V164" s="95" t="str">
        <f ca="1">IF(Table1[[#This Row],[Item Description]]="","",IF(Table1[[#This Row],[//]]="",INDIRECT(ADDRESS(ROW()-1,COLUMN())),Table1[[#This Row],[//]]))</f>
        <v/>
      </c>
      <c r="W164" s="95" t="str">
        <f ca="1">IF(Table1[[#This Row],[h_id]]="","",COUNTIF(Table1[h_id],Table1[[#This Row],[h_id]]))</f>
        <v/>
      </c>
      <c r="X164" s="93" t="str">
        <f>IF(Table1[Item Description]="","",Table1[[#This Row],[Qty]]*Table1[[#This Row],[Unit Price]])</f>
        <v/>
      </c>
      <c r="Y164" s="93" t="str">
        <f>IF(Table1[[#This Row],[h_hargasebelumdiskon]]="","",IF(Table1[[#This Row],[Disc 1]]="",0,Table1[[#This Row],[h_hargasebelumdiskon]]*Table1[[#This Row],[Disc 1]]))</f>
        <v/>
      </c>
      <c r="Z164" s="93" t="str">
        <f>IF(Table1[[#This Row],[h_hargasebelumdiskon]]="","",IF(Table1[[#This Row],[Disc 2]]="",0,(Table1[[#This Row],[h_hargasebelumdiskon]]-Table1[[#This Row],[h_disc 1]])*Table1[[#This Row],[Disc 2]]))</f>
        <v/>
      </c>
      <c r="AA164" s="93" t="str">
        <f>IF(Table1[Item Description]="","",Table1[[#This Row],[h_disc 1]]+Table1[[#This Row],[h_disc 2]])</f>
        <v/>
      </c>
      <c r="AB164" s="93" t="str">
        <f>IF(Table1[Item Description]="","",Table1[[#This Row],[h_hargasebelumdiskon]]-Table1[[#This Row],[h_diskon]])</f>
        <v/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/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 t="str">
        <f>IF(Table1[[#This Row],[No. Invoice :]]="","",ROW())</f>
        <v/>
      </c>
      <c r="B166" s="291" t="str">
        <f>IF(Table1[h_Kode Sales :_1]="","",B$1+COUNT(B$2:B165))</f>
        <v/>
      </c>
      <c r="D166" s="292"/>
      <c r="E166" s="293"/>
      <c r="F166" s="292"/>
      <c r="G166" s="95" t="str">
        <f>IF(Table1[[#This Row],[h_No. Invoice :]]="","",CONCATENATE("AM"," ",Table1[[#This Row],[h_No. Invoice :]]))</f>
        <v/>
      </c>
      <c r="H166" s="96" t="str">
        <f>CONCATENATE(UPPER(Table1[[#This Row],[h_Kode Sales :_1]])," ",Table1[[#This Row],[h_Kode Sales :_2]])</f>
        <v xml:space="preserve"> </v>
      </c>
      <c r="I166" s="95" t="str">
        <f>IF(Table1[[#This Row],[h_toko]]="","",INDEX(Table2[e],IF(Table1[[#This Row],[h_toko]]="","",MATCH(Table1[[#This Row],[h_toko]],Table2[a],0)),))</f>
        <v/>
      </c>
      <c r="N166" s="291" t="str">
        <f>IF(Table1[[#This Row],[h_Item Description]]="","",INDEX([1]!db[NB PAJAK],MATCH(Table1[[#This Row],[h_Item Description]],[1]!db[kode],0)))</f>
        <v/>
      </c>
      <c r="P166" s="93"/>
      <c r="Q166" s="94"/>
      <c r="S166" s="294" t="str">
        <f>Table1[[#This Row],[h_hargasetelahdiskon]]</f>
        <v/>
      </c>
      <c r="V166" s="95" t="str">
        <f ca="1">IF(Table1[[#This Row],[Item Description]]="","",IF(Table1[[#This Row],[//]]="",INDIRECT(ADDRESS(ROW()-1,COLUMN())),Table1[[#This Row],[//]]))</f>
        <v/>
      </c>
      <c r="W166" s="95" t="str">
        <f ca="1">IF(Table1[[#This Row],[h_id]]="","",COUNTIF(Table1[h_id],Table1[[#This Row],[h_id]]))</f>
        <v/>
      </c>
      <c r="X166" s="93" t="str">
        <f>IF(Table1[Item Description]="","",Table1[[#This Row],[Qty]]*Table1[[#This Row],[Unit Price]])</f>
        <v/>
      </c>
      <c r="Y166" s="93" t="str">
        <f>IF(Table1[[#This Row],[h_hargasebelumdiskon]]="","",IF(Table1[[#This Row],[Disc 1]]="",0,Table1[[#This Row],[h_hargasebelumdiskon]]*Table1[[#This Row],[Disc 1]]))</f>
        <v/>
      </c>
      <c r="Z166" s="93" t="str">
        <f>IF(Table1[[#This Row],[h_hargasebelumdiskon]]="","",IF(Table1[[#This Row],[Disc 2]]="",0,(Table1[[#This Row],[h_hargasebelumdiskon]]-Table1[[#This Row],[h_disc 1]])*Table1[[#This Row],[Disc 2]]))</f>
        <v/>
      </c>
      <c r="AA166" s="93" t="str">
        <f>IF(Table1[Item Description]="","",Table1[[#This Row],[h_disc 1]]+Table1[[#This Row],[h_disc 2]])</f>
        <v/>
      </c>
      <c r="AB166" s="93" t="str">
        <f>IF(Table1[Item Description]="","",Table1[[#This Row],[h_hargasebelumdiskon]]-Table1[[#This Row],[h_diskon]])</f>
        <v/>
      </c>
      <c r="AC166" s="93" t="str">
        <f>IF(Table1[//]="","",SUMIF(Table1[h_id],Table1[h_id],Table1[h_hargasetelahdiskon]))</f>
        <v/>
      </c>
      <c r="AD166" s="93"/>
      <c r="AE166" s="93" t="str">
        <f>Table1[[#This Row],[Item Description]]&amp;Table1[[#This Row],[Unit]]&amp;Table1[[#This Row],[Unit Price]]</f>
        <v/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D167" s="292"/>
      <c r="E167" s="293"/>
      <c r="F167" s="292"/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N167" s="291" t="str">
        <f>IF(Table1[[#This Row],[h_Item Description]]="","",INDEX([1]!db[NB PAJAK],MATCH(Table1[[#This Row],[h_Item Description]],[1]!db[kode],0)))</f>
        <v/>
      </c>
      <c r="P167" s="93"/>
      <c r="Q167" s="94"/>
      <c r="S167" s="294" t="str">
        <f>Table1[[#This Row],[h_hargasetelahdiskon]]</f>
        <v/>
      </c>
      <c r="V167" s="95" t="str">
        <f ca="1">IF(Table1[[#This Row],[Item Description]]="","",IF(Table1[[#This Row],[//]]="",INDIRECT(ADDRESS(ROW()-1,COLUMN())),Table1[[#This Row],[//]]))</f>
        <v/>
      </c>
      <c r="W167" s="95" t="str">
        <f ca="1">IF(Table1[[#This Row],[h_id]]="","",COUNTIF(Table1[h_id],Table1[[#This Row],[h_id]]))</f>
        <v/>
      </c>
      <c r="X167" s="93" t="str">
        <f>IF(Table1[Item Description]="","",Table1[[#This Row],[Qty]]*Table1[[#This Row],[Unit Price]])</f>
        <v/>
      </c>
      <c r="Y167" s="93" t="str">
        <f>IF(Table1[[#This Row],[h_hargasebelumdiskon]]="","",IF(Table1[[#This Row],[Disc 1]]="",0,Table1[[#This Row],[h_hargasebelumdiskon]]*Table1[[#This Row],[Disc 1]]))</f>
        <v/>
      </c>
      <c r="Z167" s="93" t="str">
        <f>IF(Table1[[#This Row],[h_hargasebelumdiskon]]="","",IF(Table1[[#This Row],[Disc 2]]="",0,(Table1[[#This Row],[h_hargasebelumdiskon]]-Table1[[#This Row],[h_disc 1]])*Table1[[#This Row],[Disc 2]]))</f>
        <v/>
      </c>
      <c r="AA167" s="93" t="str">
        <f>IF(Table1[Item Description]="","",Table1[[#This Row],[h_disc 1]]+Table1[[#This Row],[h_disc 2]])</f>
        <v/>
      </c>
      <c r="AB167" s="93" t="str">
        <f>IF(Table1[Item Description]="","",Table1[[#This Row],[h_hargasebelumdiskon]]-Table1[[#This Row],[h_diskon]])</f>
        <v/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/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 t="str">
        <f>IF(Table1[[#This Row],[No. Invoice :]]="","",ROW())</f>
        <v/>
      </c>
      <c r="B169" s="291" t="str">
        <f>IF(Table1[h_Kode Sales :_1]="","",B$1+COUNT(B$2:B168))</f>
        <v/>
      </c>
      <c r="D169" s="292"/>
      <c r="E169" s="293"/>
      <c r="F169" s="292"/>
      <c r="G169" s="95" t="str">
        <f>IF(Table1[[#This Row],[h_No. Invoice :]]="","",CONCATENATE("AM"," ",Table1[[#This Row],[h_No. Invoice :]]))</f>
        <v/>
      </c>
      <c r="H169" s="96" t="str">
        <f>CONCATENATE(UPPER(Table1[[#This Row],[h_Kode Sales :_1]])," ",Table1[[#This Row],[h_Kode Sales :_2]])</f>
        <v xml:space="preserve"> </v>
      </c>
      <c r="I169" s="95" t="str">
        <f>IF(Table1[[#This Row],[h_toko]]="","",INDEX(Table2[e],IF(Table1[[#This Row],[h_toko]]="","",MATCH(Table1[[#This Row],[h_toko]],Table2[a],0)),))</f>
        <v/>
      </c>
      <c r="N169" s="291" t="str">
        <f>IF(Table1[[#This Row],[h_Item Description]]="","",INDEX([1]!db[NB PAJAK],MATCH(Table1[[#This Row],[h_Item Description]],[1]!db[kode],0)))</f>
        <v/>
      </c>
      <c r="P169" s="93"/>
      <c r="Q169" s="94"/>
      <c r="S169" s="294" t="str">
        <f>Table1[[#This Row],[h_hargasetelahdiskon]]</f>
        <v/>
      </c>
      <c r="V169" s="95" t="str">
        <f ca="1">IF(Table1[[#This Row],[Item Description]]="","",IF(Table1[[#This Row],[//]]="",INDIRECT(ADDRESS(ROW()-1,COLUMN())),Table1[[#This Row],[//]]))</f>
        <v/>
      </c>
      <c r="W169" s="95" t="str">
        <f ca="1">IF(Table1[[#This Row],[h_id]]="","",COUNTIF(Table1[h_id],Table1[[#This Row],[h_id]]))</f>
        <v/>
      </c>
      <c r="X169" s="93" t="str">
        <f>IF(Table1[Item Description]="","",Table1[[#This Row],[Qty]]*Table1[[#This Row],[Unit Price]])</f>
        <v/>
      </c>
      <c r="Y169" s="93" t="str">
        <f>IF(Table1[[#This Row],[h_hargasebelumdiskon]]="","",IF(Table1[[#This Row],[Disc 1]]="",0,Table1[[#This Row],[h_hargasebelumdiskon]]*Table1[[#This Row],[Disc 1]]))</f>
        <v/>
      </c>
      <c r="Z169" s="93" t="str">
        <f>IF(Table1[[#This Row],[h_hargasebelumdiskon]]="","",IF(Table1[[#This Row],[Disc 2]]="",0,(Table1[[#This Row],[h_hargasebelumdiskon]]-Table1[[#This Row],[h_disc 1]])*Table1[[#This Row],[Disc 2]]))</f>
        <v/>
      </c>
      <c r="AA169" s="93" t="str">
        <f>IF(Table1[Item Description]="","",Table1[[#This Row],[h_disc 1]]+Table1[[#This Row],[h_disc 2]])</f>
        <v/>
      </c>
      <c r="AB169" s="93" t="str">
        <f>IF(Table1[Item Description]="","",Table1[[#This Row],[h_hargasebelumdiskon]]-Table1[[#This Row],[h_diskon]])</f>
        <v/>
      </c>
      <c r="AC169" s="93" t="str">
        <f>IF(Table1[//]="","",SUMIF(Table1[h_id],Table1[h_id],Table1[h_hargasetelahdiskon]))</f>
        <v/>
      </c>
      <c r="AD169" s="93"/>
      <c r="AE169" s="93" t="str">
        <f>Table1[[#This Row],[Item Description]]&amp;Table1[[#This Row],[Unit]]&amp;Table1[[#This Row],[Unit Price]]</f>
        <v/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D170" s="292"/>
      <c r="E170" s="293"/>
      <c r="F170" s="292"/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M170" s="292"/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 t="str">
        <f>IF(Table1[[#This Row],[No. Invoice :]]="","",ROW())</f>
        <v/>
      </c>
      <c r="B171" s="291" t="str">
        <f>IF(Table1[h_Kode Sales :_1]="","",B$1+COUNT(B$2:B170))</f>
        <v/>
      </c>
      <c r="G171" s="95" t="str">
        <f>IF(Table1[[#This Row],[h_No. Invoice :]]="","",CONCATENATE("AM"," ",Table1[[#This Row],[h_No. Invoice :]]))</f>
        <v/>
      </c>
      <c r="H171" s="96" t="str">
        <f>CONCATENATE(UPPER(Table1[[#This Row],[h_Kode Sales :_1]])," ",Table1[[#This Row],[h_Kode Sales :_2]])</f>
        <v xml:space="preserve"> </v>
      </c>
      <c r="I171" s="95" t="str">
        <f>IF(Table1[[#This Row],[h_toko]]="","",INDEX(Table2[e],IF(Table1[[#This Row],[h_toko]]="","",MATCH(Table1[[#This Row],[h_toko]],Table2[a],0)),))</f>
        <v/>
      </c>
      <c r="N171" s="291" t="str">
        <f>IF(Table1[[#This Row],[h_Item Description]]="","",INDEX([1]!db[NB PAJAK],MATCH(Table1[[#This Row],[h_Item Description]],[1]!db[kode],0)))</f>
        <v/>
      </c>
      <c r="P171" s="93"/>
      <c r="Q171" s="94"/>
      <c r="S171" s="294" t="str">
        <f>Table1[[#This Row],[h_hargasetelahdiskon]]</f>
        <v/>
      </c>
      <c r="V171" s="95" t="str">
        <f ca="1">IF(Table1[[#This Row],[Item Description]]="","",IF(Table1[[#This Row],[//]]="",INDIRECT(ADDRESS(ROW()-1,COLUMN())),Table1[[#This Row],[//]]))</f>
        <v/>
      </c>
      <c r="W171" s="95" t="str">
        <f ca="1">IF(Table1[[#This Row],[h_id]]="","",COUNTIF(Table1[h_id],Table1[[#This Row],[h_id]]))</f>
        <v/>
      </c>
      <c r="X171" s="93" t="str">
        <f>IF(Table1[Item Description]="","",Table1[[#This Row],[Qty]]*Table1[[#This Row],[Unit Price]])</f>
        <v/>
      </c>
      <c r="Y171" s="93" t="str">
        <f>IF(Table1[[#This Row],[h_hargasebelumdiskon]]="","",IF(Table1[[#This Row],[Disc 1]]="",0,Table1[[#This Row],[h_hargasebelumdiskon]]*Table1[[#This Row],[Disc 1]]))</f>
        <v/>
      </c>
      <c r="Z171" s="93" t="str">
        <f>IF(Table1[[#This Row],[h_hargasebelumdiskon]]="","",IF(Table1[[#This Row],[Disc 2]]="",0,(Table1[[#This Row],[h_hargasebelumdiskon]]-Table1[[#This Row],[h_disc 1]])*Table1[[#This Row],[Disc 2]]))</f>
        <v/>
      </c>
      <c r="AA171" s="93" t="str">
        <f>IF(Table1[Item Description]="","",Table1[[#This Row],[h_disc 1]]+Table1[[#This Row],[h_disc 2]])</f>
        <v/>
      </c>
      <c r="AB171" s="93" t="str">
        <f>IF(Table1[Item Description]="","",Table1[[#This Row],[h_hargasebelumdiskon]]-Table1[[#This Row],[h_diskon]])</f>
        <v/>
      </c>
      <c r="AC171" s="93" t="str">
        <f>IF(Table1[//]="","",SUMIF(Table1[h_id],Table1[h_id],Table1[h_hargasetelahdiskon]))</f>
        <v/>
      </c>
      <c r="AD171" s="93"/>
      <c r="AE171" s="93" t="str">
        <f>Table1[[#This Row],[Item Description]]&amp;Table1[[#This Row],[Unit]]&amp;Table1[[#This Row],[Unit Price]]</f>
        <v/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D172" s="292"/>
      <c r="E172" s="293"/>
      <c r="F172" s="292"/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N172" s="291" t="str">
        <f>IF(Table1[[#This Row],[h_Item Description]]="","",INDEX([1]!db[NB PAJAK],MATCH(Table1[[#This Row],[h_Item Description]],[1]!db[kode],0)))</f>
        <v/>
      </c>
      <c r="P172" s="93"/>
      <c r="Q172" s="94"/>
      <c r="S172" s="294" t="str">
        <f>Table1[[#This Row],[h_hargasetelahdiskon]]</f>
        <v/>
      </c>
      <c r="V172" s="95" t="str">
        <f ca="1">IF(Table1[[#This Row],[Item Description]]="","",IF(Table1[[#This Row],[//]]="",INDIRECT(ADDRESS(ROW()-1,COLUMN())),Table1[[#This Row],[//]]))</f>
        <v/>
      </c>
      <c r="W172" s="95" t="str">
        <f ca="1">IF(Table1[[#This Row],[h_id]]="","",COUNTIF(Table1[h_id],Table1[[#This Row],[h_id]]))</f>
        <v/>
      </c>
      <c r="X172" s="93" t="str">
        <f>IF(Table1[Item Description]="","",Table1[[#This Row],[Qty]]*Table1[[#This Row],[Unit Price]])</f>
        <v/>
      </c>
      <c r="Y172" s="93" t="str">
        <f>IF(Table1[[#This Row],[h_hargasebelumdiskon]]="","",IF(Table1[[#This Row],[Disc 1]]="",0,Table1[[#This Row],[h_hargasebelumdiskon]]*Table1[[#This Row],[Disc 1]]))</f>
        <v/>
      </c>
      <c r="Z172" s="93" t="str">
        <f>IF(Table1[[#This Row],[h_hargasebelumdiskon]]="","",IF(Table1[[#This Row],[Disc 2]]="",0,(Table1[[#This Row],[h_hargasebelumdiskon]]-Table1[[#This Row],[h_disc 1]])*Table1[[#This Row],[Disc 2]]))</f>
        <v/>
      </c>
      <c r="AA172" s="93" t="str">
        <f>IF(Table1[Item Description]="","",Table1[[#This Row],[h_disc 1]]+Table1[[#This Row],[h_disc 2]])</f>
        <v/>
      </c>
      <c r="AB172" s="93" t="str">
        <f>IF(Table1[Item Description]="","",Table1[[#This Row],[h_hargasebelumdiskon]]-Table1[[#This Row],[h_diskon]])</f>
        <v/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/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 t="str">
        <f>IF(Table1[[#This Row],[No. Invoice :]]="","",ROW())</f>
        <v/>
      </c>
      <c r="B174" s="291" t="str">
        <f>IF(Table1[h_Kode Sales :_1]="","",B$1+COUNT(B$2:B173))</f>
        <v/>
      </c>
      <c r="D174" s="292"/>
      <c r="E174" s="293"/>
      <c r="F174" s="292"/>
      <c r="G174" s="95" t="str">
        <f>IF(Table1[[#This Row],[h_No. Invoice :]]="","",CONCATENATE("AM"," ",Table1[[#This Row],[h_No. Invoice :]]))</f>
        <v/>
      </c>
      <c r="H174" s="96" t="str">
        <f>CONCATENATE(UPPER(Table1[[#This Row],[h_Kode Sales :_1]])," ",Table1[[#This Row],[h_Kode Sales :_2]])</f>
        <v xml:space="preserve"> </v>
      </c>
      <c r="I174" s="95" t="str">
        <f>IF(Table1[[#This Row],[h_toko]]="","",INDEX(Table2[e],IF(Table1[[#This Row],[h_toko]]="","",MATCH(Table1[[#This Row],[h_toko]],Table2[a],0)),))</f>
        <v/>
      </c>
      <c r="N174" s="291" t="str">
        <f>IF(Table1[[#This Row],[h_Item Description]]="","",INDEX([1]!db[NB PAJAK],MATCH(Table1[[#This Row],[h_Item Description]],[1]!db[kode],0)))</f>
        <v/>
      </c>
      <c r="P174" s="93"/>
      <c r="Q174" s="94"/>
      <c r="S174" s="294" t="str">
        <f>Table1[[#This Row],[h_hargasetelahdiskon]]</f>
        <v/>
      </c>
      <c r="V174" s="95" t="str">
        <f ca="1">IF(Table1[[#This Row],[Item Description]]="","",IF(Table1[[#This Row],[//]]="",INDIRECT(ADDRESS(ROW()-1,COLUMN())),Table1[[#This Row],[//]]))</f>
        <v/>
      </c>
      <c r="W174" s="95" t="str">
        <f ca="1">IF(Table1[[#This Row],[h_id]]="","",COUNTIF(Table1[h_id],Table1[[#This Row],[h_id]]))</f>
        <v/>
      </c>
      <c r="X174" s="93" t="str">
        <f>IF(Table1[Item Description]="","",Table1[[#This Row],[Qty]]*Table1[[#This Row],[Unit Price]])</f>
        <v/>
      </c>
      <c r="Y174" s="93" t="str">
        <f>IF(Table1[[#This Row],[h_hargasebelumdiskon]]="","",IF(Table1[[#This Row],[Disc 1]]="",0,Table1[[#This Row],[h_hargasebelumdiskon]]*Table1[[#This Row],[Disc 1]]))</f>
        <v/>
      </c>
      <c r="Z174" s="93" t="str">
        <f>IF(Table1[[#This Row],[h_hargasebelumdiskon]]="","",IF(Table1[[#This Row],[Disc 2]]="",0,(Table1[[#This Row],[h_hargasebelumdiskon]]-Table1[[#This Row],[h_disc 1]])*Table1[[#This Row],[Disc 2]]))</f>
        <v/>
      </c>
      <c r="AA174" s="93" t="str">
        <f>IF(Table1[Item Description]="","",Table1[[#This Row],[h_disc 1]]+Table1[[#This Row],[h_disc 2]])</f>
        <v/>
      </c>
      <c r="AB174" s="93" t="str">
        <f>IF(Table1[Item Description]="","",Table1[[#This Row],[h_hargasebelumdiskon]]-Table1[[#This Row],[h_diskon]])</f>
        <v/>
      </c>
      <c r="AC174" s="93" t="str">
        <f>IF(Table1[//]="","",SUMIF(Table1[h_id],Table1[h_id],Table1[h_hargasetelahdiskon]))</f>
        <v/>
      </c>
      <c r="AD174" s="93"/>
      <c r="AE174" s="93" t="str">
        <f>Table1[[#This Row],[Item Description]]&amp;Table1[[#This Row],[Unit]]&amp;Table1[[#This Row],[Unit Price]]</f>
        <v/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D175" s="292"/>
      <c r="E175" s="293"/>
      <c r="F175" s="292"/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M175" s="292"/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 t="str">
        <f>IF(Table1[[#This Row],[No. Invoice :]]="","",ROW())</f>
        <v/>
      </c>
      <c r="B176" s="291" t="str">
        <f>IF(Table1[h_Kode Sales :_1]="","",B$1+COUNT(B$2:B175))</f>
        <v/>
      </c>
      <c r="G176" s="95" t="str">
        <f>IF(Table1[[#This Row],[h_No. Invoice :]]="","",CONCATENATE("AM"," ",Table1[[#This Row],[h_No. Invoice :]]))</f>
        <v/>
      </c>
      <c r="H176" s="96" t="str">
        <f>CONCATENATE(UPPER(Table1[[#This Row],[h_Kode Sales :_1]])," ",Table1[[#This Row],[h_Kode Sales :_2]])</f>
        <v xml:space="preserve"> </v>
      </c>
      <c r="I176" s="95" t="str">
        <f>IF(Table1[[#This Row],[h_toko]]="","",INDEX(Table2[e],IF(Table1[[#This Row],[h_toko]]="","",MATCH(Table1[[#This Row],[h_toko]],Table2[a],0)),))</f>
        <v/>
      </c>
      <c r="N176" s="291" t="str">
        <f>IF(Table1[[#This Row],[h_Item Description]]="","",INDEX([1]!db[NB PAJAK],MATCH(Table1[[#This Row],[h_Item Description]],[1]!db[kode],0)))</f>
        <v/>
      </c>
      <c r="P176" s="93"/>
      <c r="Q176" s="94"/>
      <c r="S176" s="294" t="str">
        <f>Table1[[#This Row],[h_hargasetelahdiskon]]</f>
        <v/>
      </c>
      <c r="V176" s="95" t="str">
        <f ca="1">IF(Table1[[#This Row],[Item Description]]="","",IF(Table1[[#This Row],[//]]="",INDIRECT(ADDRESS(ROW()-1,COLUMN())),Table1[[#This Row],[//]]))</f>
        <v/>
      </c>
      <c r="W176" s="95" t="str">
        <f ca="1">IF(Table1[[#This Row],[h_id]]="","",COUNTIF(Table1[h_id],Table1[[#This Row],[h_id]]))</f>
        <v/>
      </c>
      <c r="X176" s="93" t="str">
        <f>IF(Table1[Item Description]="","",Table1[[#This Row],[Qty]]*Table1[[#This Row],[Unit Price]])</f>
        <v/>
      </c>
      <c r="Y176" s="93" t="str">
        <f>IF(Table1[[#This Row],[h_hargasebelumdiskon]]="","",IF(Table1[[#This Row],[Disc 1]]="",0,Table1[[#This Row],[h_hargasebelumdiskon]]*Table1[[#This Row],[Disc 1]]))</f>
        <v/>
      </c>
      <c r="Z176" s="93" t="str">
        <f>IF(Table1[[#This Row],[h_hargasebelumdiskon]]="","",IF(Table1[[#This Row],[Disc 2]]="",0,(Table1[[#This Row],[h_hargasebelumdiskon]]-Table1[[#This Row],[h_disc 1]])*Table1[[#This Row],[Disc 2]]))</f>
        <v/>
      </c>
      <c r="AA176" s="93" t="str">
        <f>IF(Table1[Item Description]="","",Table1[[#This Row],[h_disc 1]]+Table1[[#This Row],[h_disc 2]])</f>
        <v/>
      </c>
      <c r="AB176" s="93" t="str">
        <f>IF(Table1[Item Description]="","",Table1[[#This Row],[h_hargasebelumdiskon]]-Table1[[#This Row],[h_diskon]])</f>
        <v/>
      </c>
      <c r="AC176" s="93" t="str">
        <f>IF(Table1[//]="","",SUMIF(Table1[h_id],Table1[h_id],Table1[h_hargasetelahdiskon]))</f>
        <v/>
      </c>
      <c r="AD176" s="93"/>
      <c r="AE176" s="93" t="str">
        <f>Table1[[#This Row],[Item Description]]&amp;Table1[[#This Row],[Unit]]&amp;Table1[[#This Row],[Unit Price]]</f>
        <v/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M177" s="292"/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 t="str">
        <f>IF(Table1[[#This Row],[No. Invoice :]]="","",ROW())</f>
        <v/>
      </c>
      <c r="B178" s="291" t="str">
        <f>IF(Table1[h_Kode Sales :_1]="","",B$1+COUNT(B$2:B177))</f>
        <v/>
      </c>
      <c r="G178" s="95" t="str">
        <f>IF(Table1[[#This Row],[h_No. Invoice :]]="","",CONCATENATE("AM"," ",Table1[[#This Row],[h_No. Invoice :]]))</f>
        <v/>
      </c>
      <c r="H178" s="96" t="str">
        <f>CONCATENATE(UPPER(Table1[[#This Row],[h_Kode Sales :_1]])," ",Table1[[#This Row],[h_Kode Sales :_2]])</f>
        <v xml:space="preserve"> </v>
      </c>
      <c r="I178" s="95" t="str">
        <f>IF(Table1[[#This Row],[h_toko]]="","",INDEX(Table2[e],IF(Table1[[#This Row],[h_toko]]="","",MATCH(Table1[[#This Row],[h_toko]],Table2[a],0)),))</f>
        <v/>
      </c>
      <c r="N178" s="291" t="str">
        <f>IF(Table1[[#This Row],[h_Item Description]]="","",INDEX([1]!db[NB PAJAK],MATCH(Table1[[#This Row],[h_Item Description]],[1]!db[kode],0)))</f>
        <v/>
      </c>
      <c r="P178" s="93"/>
      <c r="Q178" s="94"/>
      <c r="S178" s="294" t="str">
        <f>Table1[[#This Row],[h_hargasetelahdiskon]]</f>
        <v/>
      </c>
      <c r="V178" s="95" t="str">
        <f ca="1">IF(Table1[[#This Row],[Item Description]]="","",IF(Table1[[#This Row],[//]]="",INDIRECT(ADDRESS(ROW()-1,COLUMN())),Table1[[#This Row],[//]]))</f>
        <v/>
      </c>
      <c r="W178" s="95" t="str">
        <f ca="1">IF(Table1[[#This Row],[h_id]]="","",COUNTIF(Table1[h_id],Table1[[#This Row],[h_id]]))</f>
        <v/>
      </c>
      <c r="X178" s="93" t="str">
        <f>IF(Table1[Item Description]="","",Table1[[#This Row],[Qty]]*Table1[[#This Row],[Unit Price]])</f>
        <v/>
      </c>
      <c r="Y178" s="93" t="str">
        <f>IF(Table1[[#This Row],[h_hargasebelumdiskon]]="","",IF(Table1[[#This Row],[Disc 1]]="",0,Table1[[#This Row],[h_hargasebelumdiskon]]*Table1[[#This Row],[Disc 1]]))</f>
        <v/>
      </c>
      <c r="Z178" s="93" t="str">
        <f>IF(Table1[[#This Row],[h_hargasebelumdiskon]]="","",IF(Table1[[#This Row],[Disc 2]]="",0,(Table1[[#This Row],[h_hargasebelumdiskon]]-Table1[[#This Row],[h_disc 1]])*Table1[[#This Row],[Disc 2]]))</f>
        <v/>
      </c>
      <c r="AA178" s="93" t="str">
        <f>IF(Table1[Item Description]="","",Table1[[#This Row],[h_disc 1]]+Table1[[#This Row],[h_disc 2]])</f>
        <v/>
      </c>
      <c r="AB178" s="93" t="str">
        <f>IF(Table1[Item Description]="","",Table1[[#This Row],[h_hargasebelumdiskon]]-Table1[[#This Row],[h_diskon]])</f>
        <v/>
      </c>
      <c r="AC178" s="93" t="str">
        <f>IF(Table1[//]="","",SUMIF(Table1[h_id],Table1[h_id],Table1[h_hargasetelahdiskon]))</f>
        <v/>
      </c>
      <c r="AD178" s="93"/>
      <c r="AE178" s="93" t="str">
        <f>Table1[[#This Row],[Item Description]]&amp;Table1[[#This Row],[Unit]]&amp;Table1[[#This Row],[Unit Price]]</f>
        <v/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N179" s="291" t="str">
        <f>IF(Table1[[#This Row],[h_Item Description]]="","",INDEX([1]!db[NB PAJAK],MATCH(Table1[[#This Row],[h_Item Description]],[1]!db[kode],0)))</f>
        <v/>
      </c>
      <c r="P179" s="93"/>
      <c r="Q179" s="94"/>
      <c r="S179" s="294" t="str">
        <f>Table1[[#This Row],[h_hargasetelahdiskon]]</f>
        <v/>
      </c>
      <c r="V179" s="95" t="str">
        <f ca="1">IF(Table1[[#This Row],[Item Description]]="","",IF(Table1[[#This Row],[//]]="",INDIRECT(ADDRESS(ROW()-1,COLUMN())),Table1[[#This Row],[//]]))</f>
        <v/>
      </c>
      <c r="W179" s="95" t="str">
        <f ca="1">IF(Table1[[#This Row],[h_id]]="","",COUNTIF(Table1[h_id],Table1[[#This Row],[h_id]]))</f>
        <v/>
      </c>
      <c r="X179" s="93" t="str">
        <f>IF(Table1[Item Description]="","",Table1[[#This Row],[Qty]]*Table1[[#This Row],[Unit Price]])</f>
        <v/>
      </c>
      <c r="Y179" s="93" t="str">
        <f>IF(Table1[[#This Row],[h_hargasebelumdiskon]]="","",IF(Table1[[#This Row],[Disc 1]]="",0,Table1[[#This Row],[h_hargasebelumdiskon]]*Table1[[#This Row],[Disc 1]]))</f>
        <v/>
      </c>
      <c r="Z179" s="93" t="str">
        <f>IF(Table1[[#This Row],[h_hargasebelumdiskon]]="","",IF(Table1[[#This Row],[Disc 2]]="",0,(Table1[[#This Row],[h_hargasebelumdiskon]]-Table1[[#This Row],[h_disc 1]])*Table1[[#This Row],[Disc 2]]))</f>
        <v/>
      </c>
      <c r="AA179" s="93" t="str">
        <f>IF(Table1[Item Description]="","",Table1[[#This Row],[h_disc 1]]+Table1[[#This Row],[h_disc 2]])</f>
        <v/>
      </c>
      <c r="AB179" s="93" t="str">
        <f>IF(Table1[Item Description]="","",Table1[[#This Row],[h_hargasebelumdiskon]]-Table1[[#This Row],[h_diskon]])</f>
        <v/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/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 t="str">
        <f>IF(Table1[[#This Row],[No. Invoice :]]="","",ROW())</f>
        <v/>
      </c>
      <c r="B181" s="291" t="str">
        <f>IF(Table1[h_Kode Sales :_1]="","",B$1+COUNT(B$2:B180))</f>
        <v/>
      </c>
      <c r="D181" s="292"/>
      <c r="E181" s="293"/>
      <c r="F181" s="292"/>
      <c r="G181" s="95" t="str">
        <f>IF(Table1[[#This Row],[h_No. Invoice :]]="","",CONCATENATE("AM"," ",Table1[[#This Row],[h_No. Invoice :]]))</f>
        <v/>
      </c>
      <c r="H181" s="96" t="str">
        <f>CONCATENATE(UPPER(Table1[[#This Row],[h_Kode Sales :_1]])," ",Table1[[#This Row],[h_Kode Sales :_2]])</f>
        <v xml:space="preserve"> </v>
      </c>
      <c r="I181" s="95" t="str">
        <f>IF(Table1[[#This Row],[h_toko]]="","",INDEX(Table2[e],IF(Table1[[#This Row],[h_toko]]="","",MATCH(Table1[[#This Row],[h_toko]],Table2[a],0)),))</f>
        <v/>
      </c>
      <c r="M181" s="292"/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 t="str">
        <f>IF(Table1[//]="","",SUMIF(Table1[h_id],Table1[h_id],Table1[h_hargasetelahdiskon]))</f>
        <v/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 t="str">
        <f>IF(Table1[[#This Row],[No. Invoice :]]="","",ROW())</f>
        <v/>
      </c>
      <c r="B183" s="291" t="str">
        <f>IF(Table1[h_Kode Sales :_1]="","",B$1+COUNT(B$2:B182))</f>
        <v/>
      </c>
      <c r="D183" s="292"/>
      <c r="E183" s="293"/>
      <c r="F183" s="292"/>
      <c r="G183" s="95" t="str">
        <f>IF(Table1[[#This Row],[h_No. Invoice :]]="","",CONCATENATE("AM"," ",Table1[[#This Row],[h_No. Invoice :]]))</f>
        <v/>
      </c>
      <c r="H183" s="96" t="str">
        <f>CONCATENATE(UPPER(Table1[[#This Row],[h_Kode Sales :_1]])," ",Table1[[#This Row],[h_Kode Sales :_2]])</f>
        <v xml:space="preserve"> </v>
      </c>
      <c r="I183" s="95" t="str">
        <f>IF(Table1[[#This Row],[h_toko]]="","",INDEX(Table2[e],IF(Table1[[#This Row],[h_toko]]="","",MATCH(Table1[[#This Row],[h_toko]],Table2[a],0)),))</f>
        <v/>
      </c>
      <c r="M183" s="292"/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 t="str">
        <f>IF(Table1[//]="","",SUMIF(Table1[h_id],Table1[h_id],Table1[h_hargasetelahdiskon]))</f>
        <v/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M184" s="292"/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D186" s="292"/>
      <c r="E186" s="293"/>
      <c r="F186" s="292"/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D188" s="292"/>
      <c r="E188" s="293"/>
      <c r="F188" s="292"/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D192" s="292"/>
      <c r="E192" s="293"/>
      <c r="F192" s="292"/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D194" s="292"/>
      <c r="E194" s="293"/>
      <c r="F194" s="292"/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D197" s="292"/>
      <c r="E197" s="293"/>
      <c r="F197" s="292"/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M198" s="292"/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M199" s="292"/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M200" s="292"/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M201" s="292"/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M202" s="292"/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M203" s="292"/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D205" s="292"/>
      <c r="E205" s="293"/>
      <c r="F205" s="292"/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M205" s="292"/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M206" s="292"/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/>
      <c r="B217" s="95"/>
      <c r="G217" s="95"/>
      <c r="H217" s="96"/>
      <c r="I217" s="95"/>
      <c r="N217" s="95"/>
      <c r="P217" s="93"/>
      <c r="Q217" s="94"/>
      <c r="S217" s="93"/>
      <c r="V217" s="95"/>
      <c r="W217" s="95"/>
      <c r="X217" s="93"/>
      <c r="Y217" s="93"/>
      <c r="Z217" s="93"/>
      <c r="AD217" s="93"/>
      <c r="AE217" s="93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zoomScaleNormal="100" workbookViewId="0">
      <selection activeCell="A6" sqref="A6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13</v>
      </c>
    </row>
    <row r="2" spans="1:24" s="88" customFormat="1" x14ac:dyDescent="0.25">
      <c r="A2" s="300" t="s">
        <v>54</v>
      </c>
      <c r="C2" s="88" t="s">
        <v>14</v>
      </c>
      <c r="D2" s="88" t="s">
        <v>1</v>
      </c>
      <c r="E2" s="301" t="s">
        <v>2</v>
      </c>
      <c r="F2" s="88" t="s">
        <v>3</v>
      </c>
      <c r="G2" s="88" t="s">
        <v>4</v>
      </c>
      <c r="H2" s="302" t="s">
        <v>51</v>
      </c>
      <c r="I2" s="302" t="s">
        <v>57</v>
      </c>
      <c r="J2" s="302" t="s">
        <v>50</v>
      </c>
      <c r="K2" s="302" t="s">
        <v>52</v>
      </c>
      <c r="L2" s="302" t="s">
        <v>53</v>
      </c>
      <c r="M2" s="303" t="s">
        <v>58</v>
      </c>
      <c r="N2" s="303" t="s">
        <v>59</v>
      </c>
      <c r="O2" s="303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2">
        <f ca="1">SUM(pajak[Total Invoice])</f>
        <v>90895766</v>
      </c>
    </row>
    <row r="3" spans="1:24" x14ac:dyDescent="0.25">
      <c r="A3" s="88">
        <v>3</v>
      </c>
      <c r="C3">
        <f t="shared" ref="C3:C34" si="0">IF(ROW()-2&lt;=jNota,A3,"")</f>
        <v>3</v>
      </c>
      <c r="D3" t="str">
        <f>IF(pajak[[#This Row],[//]]="","",INDEX(Table1[No. Invoice :],pajak[//]-offset))</f>
        <v>AM 23040001</v>
      </c>
      <c r="E3" s="90">
        <f>IF(pajak[[#This Row],[//]]="","",INDEX(Table1[Tgl Invoice :],pajak[//]-offset))</f>
        <v>45021</v>
      </c>
      <c r="F3" t="str">
        <f>IF(pajak[[#This Row],[//]]="","",INDEX(Table1[Kode Sales :],pajak[//]-offset))</f>
        <v>KO 1417</v>
      </c>
      <c r="G3" t="str">
        <f>IF(pajak[[#This Row],[//]]="","",INDEX(Table1[Toko],pajak[//]-offset))</f>
        <v>CV PELITA JAYA (ANUGERAH SEJAHTERA) PURWOKERTO</v>
      </c>
      <c r="H3" s="89">
        <f ca="1">IF(pajak[[#This Row],[//]]="","",SUMIF(Table1[h_id],pajak[[#This Row],[//]],Table1[h_hargasebelumdiskon]))</f>
        <v>7776000</v>
      </c>
      <c r="I3" s="89">
        <f ca="1">IF(pajak[[#This Row],[//]]="","",SUMIF(Table1[h_id],pajak[[#This Row],[//]],Table1[h_diskon]))</f>
        <v>1049760</v>
      </c>
      <c r="J3" s="89">
        <f ca="1">IF(pajak[[#This Row],[//]]="","",SUMIF(Table1[h_id],pajak[[#This Row],[//]],Table1[h_hargasetelahdiskon]))</f>
        <v>6726240</v>
      </c>
      <c r="K3" s="89">
        <f ca="1">IF(pajak[//]="","",pajak[[#This Row],[Sub Total]]/1.11*11%)</f>
        <v>666564.32432432426</v>
      </c>
      <c r="L3" s="89">
        <f ca="1">pajak[[#This Row],[Sub Total]]</f>
        <v>6726240</v>
      </c>
      <c r="M3" s="86" t="str">
        <f>IF(pajak[[#This Row],[//]]="","",INDEX(Table1[pembuat nota :],pajak[//]-offset))</f>
        <v>NOVI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9007688.5225225203</v>
      </c>
    </row>
    <row r="4" spans="1:24" x14ac:dyDescent="0.25">
      <c r="A4" s="88">
        <v>5</v>
      </c>
      <c r="C4">
        <f t="shared" si="0"/>
        <v>5</v>
      </c>
      <c r="D4" t="str">
        <f>IF(pajak[[#This Row],[//]]="","",INDEX(Table1[No. Invoice :],pajak[//]-offset))</f>
        <v>AM 23040002</v>
      </c>
      <c r="E4" s="90">
        <f>IF(pajak[[#This Row],[//]]="","",INDEX(Table1[Tgl Invoice :],pajak[//]-offset))</f>
        <v>45024</v>
      </c>
      <c r="F4" t="str">
        <f>IF(pajak[[#This Row],[//]]="","",INDEX(Table1[Kode Sales :],pajak[//]-offset))</f>
        <v>KO 1435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22207200</v>
      </c>
      <c r="I4" s="89">
        <f ca="1">IF(pajak[[#This Row],[//]]="","",SUMIF(Table1[h_id],pajak[[#This Row],[//]],Table1[h_diskon]))</f>
        <v>2997972</v>
      </c>
      <c r="J4" s="89">
        <f ca="1">IF(pajak[[#This Row],[//]]="","",SUMIF(Table1[h_id],pajak[[#This Row],[//]],Table1[h_hargasetelahdiskon]))</f>
        <v>19209228</v>
      </c>
      <c r="K4" s="89">
        <f ca="1">IF(pajak[//]="","",pajak[[#This Row],[Sub Total]]/1.11*11%)</f>
        <v>1903617.1891891889</v>
      </c>
      <c r="L4" s="89">
        <f ca="1">pajak[[#This Row],[Sub Total]]</f>
        <v>19209228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9007688.5225225221</v>
      </c>
    </row>
    <row r="5" spans="1:24" x14ac:dyDescent="0.25">
      <c r="A5" s="88">
        <v>12</v>
      </c>
      <c r="C5">
        <f t="shared" si="0"/>
        <v>12</v>
      </c>
      <c r="D5" t="str">
        <f>IF(pajak[[#This Row],[//]]="","",INDEX(Table1[No. Invoice :],pajak[//]-offset))</f>
        <v>AM 23040003</v>
      </c>
      <c r="E5" s="90">
        <f>IF(pajak[[#This Row],[//]]="","",INDEX(Table1[Tgl Invoice :],pajak[//]-offset))</f>
        <v>45024</v>
      </c>
      <c r="F5" t="str">
        <f>IF(pajak[[#This Row],[//]]="","",INDEX(Table1[Kode Sales :],pajak[//]-offset))</f>
        <v>KO 1458</v>
      </c>
      <c r="G5" t="str">
        <f>IF(pajak[[#This Row],[//]]="","",INDEX(Table1[Toko],pajak[//]-offset))</f>
        <v>CV PELITA JAYA (ANUGERAH SEJAHTERA) PURWOKERTO</v>
      </c>
      <c r="H5" s="89">
        <f ca="1">IF(pajak[[#This Row],[//]]="","",SUMIF(Table1[h_id],pajak[[#This Row],[//]],Table1[h_hargasebelumdiskon]))</f>
        <v>5475800</v>
      </c>
      <c r="I5" s="89">
        <f ca="1">IF(pajak[[#This Row],[//]]="","",SUMIF(Table1[h_id],pajak[[#This Row],[//]],Table1[h_diskon]))</f>
        <v>739233</v>
      </c>
      <c r="J5" s="89">
        <f ca="1">IF(pajak[[#This Row],[//]]="","",SUMIF(Table1[h_id],pajak[[#This Row],[//]],Table1[h_hargasetelahdiskon]))</f>
        <v>4736567</v>
      </c>
      <c r="K5" s="89">
        <f ca="1">IF(pajak[//]="","",pajak[[#This Row],[Sub Total]]/1.11*11%)</f>
        <v>469389.52252252249</v>
      </c>
      <c r="L5" s="89">
        <f ca="1">pajak[[#This Row],[Sub Total]]</f>
        <v>4736567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23040004</v>
      </c>
      <c r="E6" s="90">
        <f>IF(pajak[[#This Row],[//]]="","",INDEX(Table1[Tgl Invoice :],pajak[//]-offset))</f>
        <v>45024</v>
      </c>
      <c r="F6" t="str">
        <f>IF(pajak[[#This Row],[//]]="","",INDEX(Table1[Kode Sales :],pajak[//]-offset))</f>
        <v>G 1459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15300000</v>
      </c>
      <c r="I6" s="89">
        <f ca="1">IF(pajak[[#This Row],[//]]="","",SUMIF(Table1[h_id],pajak[[#This Row],[//]],Table1[h_diskon]))</f>
        <v>2306355</v>
      </c>
      <c r="J6" s="89">
        <f ca="1">IF(pajak[[#This Row],[//]]="","",SUMIF(Table1[h_id],pajak[[#This Row],[//]],Table1[h_hargasetelahdiskon]))</f>
        <v>12993645</v>
      </c>
      <c r="K6" s="89">
        <f ca="1">IF(pajak[//]="","",pajak[[#This Row],[Sub Total]]/1.11*11%)</f>
        <v>1287658.5135135134</v>
      </c>
      <c r="L6" s="89">
        <f ca="1">pajak[[#This Row],[Sub Total]]</f>
        <v>12993645</v>
      </c>
      <c r="M6" s="86" t="str">
        <f>IF(pajak[[#This Row],[//]]="","",INDEX(Table1[pembuat nota :],pajak[//]-offset))</f>
        <v>NOVI / CONDRO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19</v>
      </c>
      <c r="C7">
        <f t="shared" si="0"/>
        <v>19</v>
      </c>
      <c r="D7" t="str">
        <f>IF(pajak[[#This Row],[//]]="","",INDEX(Table1[No. Invoice :],pajak[//]-offset))</f>
        <v>AM 23040005</v>
      </c>
      <c r="E7" s="90">
        <f>IF(pajak[[#This Row],[//]]="","",INDEX(Table1[Tgl Invoice :],pajak[//]-offset))</f>
        <v>45027</v>
      </c>
      <c r="F7" t="str">
        <f>IF(pajak[[#This Row],[//]]="","",INDEX(Table1[Kode Sales :],pajak[//]-offset))</f>
        <v xml:space="preserve">KO 1467 </v>
      </c>
      <c r="G7" t="str">
        <f>IF(pajak[[#This Row],[//]]="","",INDEX(Table1[Toko],pajak[//]-offset))</f>
        <v>CV PELITA JAYA (ANUGERAH SEJAHTERA) PURWOKERTO</v>
      </c>
      <c r="H7" s="89">
        <f ca="1">IF(pajak[[#This Row],[//]]="","",SUMIF(Table1[h_id],pajak[[#This Row],[//]],Table1[h_hargasebelumdiskon]))</f>
        <v>4416000</v>
      </c>
      <c r="I7" s="89">
        <f ca="1">IF(pajak[[#This Row],[//]]="","",SUMIF(Table1[h_id],pajak[[#This Row],[//]],Table1[h_diskon]))</f>
        <v>596160</v>
      </c>
      <c r="J7" s="89">
        <f ca="1">IF(pajak[[#This Row],[//]]="","",SUMIF(Table1[h_id],pajak[[#This Row],[//]],Table1[h_hargasetelahdiskon]))</f>
        <v>3819840</v>
      </c>
      <c r="K7" s="89">
        <f ca="1">IF(pajak[//]="","",pajak[[#This Row],[Sub Total]]/1.11*11%)</f>
        <v>378542.70270270266</v>
      </c>
      <c r="L7" s="89">
        <f ca="1">pajak[[#This Row],[Sub Total]]</f>
        <v>3819840</v>
      </c>
      <c r="M7" s="86" t="str">
        <f>IF(pajak[[#This Row],[//]]="","",INDEX(Table1[pembuat nota :],pajak[//]-offset))</f>
        <v>NOVI / CONDRO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21</v>
      </c>
      <c r="C8">
        <f t="shared" si="0"/>
        <v>21</v>
      </c>
      <c r="D8" t="str">
        <f>IF(pajak[[#This Row],[//]]="","",INDEX(Table1[No. Invoice :],pajak[//]-offset))</f>
        <v>AM 23040006</v>
      </c>
      <c r="E8" s="90">
        <f>IF(pajak[[#This Row],[//]]="","",INDEX(Table1[Tgl Invoice :],pajak[//]-offset))</f>
        <v>45028</v>
      </c>
      <c r="F8" t="str">
        <f>IF(pajak[[#This Row],[//]]="","",INDEX(Table1[Kode Sales :],pajak[//]-offset))</f>
        <v>G 1474</v>
      </c>
      <c r="G8" t="str">
        <f>IF(pajak[[#This Row],[//]]="","",INDEX(Table1[Toko],pajak[//]-offset))</f>
        <v>LILY JULIAWATI (REJO AGUNG) JOMBANG</v>
      </c>
      <c r="H8" s="89">
        <f ca="1">IF(pajak[[#This Row],[//]]="","",SUMIF(Table1[h_id],pajak[[#This Row],[//]],Table1[h_hargasebelumdiskon]))</f>
        <v>17136000</v>
      </c>
      <c r="I8" s="89">
        <f ca="1">IF(pajak[[#This Row],[//]]="","",SUMIF(Table1[h_id],pajak[[#This Row],[//]],Table1[h_diskon]))</f>
        <v>2591820</v>
      </c>
      <c r="J8" s="89">
        <f ca="1">IF(pajak[[#This Row],[//]]="","",SUMIF(Table1[h_id],pajak[[#This Row],[//]],Table1[h_hargasetelahdiskon]))</f>
        <v>14544180</v>
      </c>
      <c r="K8" s="89">
        <f ca="1">IF(pajak[//]="","",pajak[[#This Row],[Sub Total]]/1.11*11%)</f>
        <v>1441315.1351351349</v>
      </c>
      <c r="L8" s="89">
        <f ca="1">pajak[[#This Row],[Sub Total]]</f>
        <v>14544180</v>
      </c>
      <c r="M8" s="86" t="str">
        <f>IF(pajak[[#This Row],[//]]="","",INDEX(Table1[pembuat nota :],pajak[//]-offset))</f>
        <v>NOVI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23</v>
      </c>
      <c r="C9">
        <f t="shared" si="0"/>
        <v>23</v>
      </c>
      <c r="D9" t="str">
        <f>IF(pajak[[#This Row],[//]]="","",INDEX(Table1[No. Invoice :],pajak[//]-offset))</f>
        <v>AM 23040007</v>
      </c>
      <c r="E9" s="90">
        <f>IF(pajak[[#This Row],[//]]="","",INDEX(Table1[Tgl Invoice :],pajak[//]-offset))</f>
        <v>45028</v>
      </c>
      <c r="F9" t="str">
        <f>IF(pajak[[#This Row],[//]]="","",INDEX(Table1[Kode Sales :],pajak[//]-offset))</f>
        <v>KO 1027</v>
      </c>
      <c r="G9" t="str">
        <f>IF(pajak[[#This Row],[//]]="","",INDEX(Table1[Toko],pajak[//]-offset))</f>
        <v>SOEYANTO LOPULUSI ( LANCAR ) MALANG</v>
      </c>
      <c r="H9" s="89">
        <f ca="1">IF(pajak[[#This Row],[//]]="","",SUMIF(Table1[h_id],pajak[[#This Row],[//]],Table1[h_hargasebelumdiskon]))</f>
        <v>22485200</v>
      </c>
      <c r="I9" s="89">
        <f ca="1">IF(pajak[[#This Row],[//]]="","",SUMIF(Table1[h_id],pajak[[#This Row],[//]],Table1[h_diskon]))</f>
        <v>2810650</v>
      </c>
      <c r="J9" s="89">
        <f ca="1">IF(pajak[[#This Row],[//]]="","",SUMIF(Table1[h_id],pajak[[#This Row],[//]],Table1[h_hargasetelahdiskon]))</f>
        <v>19674550</v>
      </c>
      <c r="K9" s="89">
        <f ca="1">IF(pajak[//]="","",pajak[[#This Row],[Sub Total]]/1.11*11%)</f>
        <v>1949730.1801801801</v>
      </c>
      <c r="L9" s="89">
        <f ca="1">pajak[[#This Row],[Sub Total]]</f>
        <v>19674550</v>
      </c>
      <c r="M9" s="86" t="str">
        <f>IF(pajak[[#This Row],[//]]="","",INDEX(Table1[pembuat nota :],pajak[//]-offset))</f>
        <v>NOVI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31</v>
      </c>
      <c r="C10">
        <f t="shared" si="0"/>
        <v>31</v>
      </c>
      <c r="D10" t="str">
        <f>IF(pajak[[#This Row],[//]]="","",INDEX(Table1[No. Invoice :],pajak[//]-offset))</f>
        <v>AM 23040008</v>
      </c>
      <c r="E10" s="90">
        <f>IF(pajak[[#This Row],[//]]="","",INDEX(Table1[Tgl Invoice :],pajak[//]-offset))</f>
        <v>45028</v>
      </c>
      <c r="F10" t="str">
        <f>IF(pajak[[#This Row],[//]]="","",INDEX(Table1[Kode Sales :],pajak[//]-offset))</f>
        <v>KO 1482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4934400</v>
      </c>
      <c r="I10" s="89">
        <f ca="1">IF(pajak[[#This Row],[//]]="","",SUMIF(Table1[h_id],pajak[[#This Row],[//]],Table1[h_diskon]))</f>
        <v>666144</v>
      </c>
      <c r="J10" s="89">
        <f ca="1">IF(pajak[[#This Row],[//]]="","",SUMIF(Table1[h_id],pajak[[#This Row],[//]],Table1[h_hargasetelahdiskon]))</f>
        <v>4268256</v>
      </c>
      <c r="K10" s="89">
        <f ca="1">IF(pajak[//]="","",pajak[[#This Row],[Sub Total]]/1.11*11%)</f>
        <v>422980.32432432426</v>
      </c>
      <c r="L10" s="89">
        <f ca="1">pajak[[#This Row],[Sub Total]]</f>
        <v>4268256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35</v>
      </c>
      <c r="C11">
        <f t="shared" si="0"/>
        <v>35</v>
      </c>
      <c r="D11" t="str">
        <f>IF(pajak[[#This Row],[//]]="","",INDEX(Table1[No. Invoice :],pajak[//]-offset))</f>
        <v>AM 23040009</v>
      </c>
      <c r="E11" s="90">
        <f>IF(pajak[[#This Row],[//]]="","",INDEX(Table1[Tgl Invoice :],pajak[//]-offset))</f>
        <v>45030</v>
      </c>
      <c r="F11" t="str">
        <f>IF(pajak[[#This Row],[//]]="","",INDEX(Table1[Kode Sales :],pajak[//]-offset))</f>
        <v>KO 4010</v>
      </c>
      <c r="G11" t="str">
        <f>IF(pajak[[#This Row],[//]]="","",INDEX(Table1[Toko],pajak[//]-offset))</f>
        <v>CV TRINITY CENTRAAL PURWOKERTO</v>
      </c>
      <c r="H11" s="89">
        <f ca="1">IF(pajak[[#This Row],[//]]="","",SUMIF(Table1[h_id],pajak[[#This Row],[//]],Table1[h_hargasebelumdiskon]))</f>
        <v>1800000</v>
      </c>
      <c r="I11" s="89">
        <f ca="1">IF(pajak[[#This Row],[//]]="","",SUMIF(Table1[h_id],pajak[[#This Row],[//]],Table1[h_diskon]))</f>
        <v>0</v>
      </c>
      <c r="J11" s="89">
        <f ca="1">IF(pajak[[#This Row],[//]]="","",SUMIF(Table1[h_id],pajak[[#This Row],[//]],Table1[h_hargasetelahdiskon]))</f>
        <v>1800000</v>
      </c>
      <c r="K11" s="89">
        <f ca="1">IF(pajak[//]="","",pajak[[#This Row],[Sub Total]]/1.11*11%)</f>
        <v>178378.37837837837</v>
      </c>
      <c r="L11" s="89">
        <f ca="1">pajak[[#This Row],[Sub Total]]</f>
        <v>1800000</v>
      </c>
      <c r="M11" s="86" t="str">
        <f>IF(pajak[[#This Row],[//]]="","",INDEX(Table1[pembuat nota :],pajak[//]-offset))</f>
        <v>NOVI / YO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37</v>
      </c>
      <c r="C12" s="86">
        <f t="shared" si="0"/>
        <v>37</v>
      </c>
      <c r="D12" t="str">
        <f>IF(pajak[[#This Row],[//]]="","",INDEX(Table1[No. Invoice :],pajak[//]-offset))</f>
        <v>AM 23040010</v>
      </c>
      <c r="E12" s="90">
        <f>IF(pajak[[#This Row],[//]]="","",INDEX(Table1[Tgl Invoice :],pajak[//]-offset))</f>
        <v>45030</v>
      </c>
      <c r="F12" s="86" t="str">
        <f>IF(pajak[[#This Row],[//]]="","",INDEX(Table1[Kode Sales :],pajak[//]-offset))</f>
        <v>G 2944</v>
      </c>
      <c r="G12" s="86" t="str">
        <f>IF(pajak[[#This Row],[//]]="","",INDEX(Table1[Toko],pajak[//]-offset))</f>
        <v>SINAR BHAKTI YOGYAKARTA</v>
      </c>
      <c r="H12" s="89">
        <f ca="1">IF(pajak[[#This Row],[//]]="","",SUMIF(Table1[h_id],pajak[[#This Row],[//]],Table1[h_hargasebelumdiskon]))</f>
        <v>1554500</v>
      </c>
      <c r="I12" s="89">
        <f ca="1">IF(pajak[[#This Row],[//]]="","",SUMIF(Table1[h_id],pajak[[#This Row],[//]],Table1[h_diskon]))</f>
        <v>30000</v>
      </c>
      <c r="J12" s="89">
        <f ca="1">IF(pajak[[#This Row],[//]]="","",SUMIF(Table1[h_id],pajak[[#This Row],[//]],Table1[h_hargasetelahdiskon]))</f>
        <v>1524500</v>
      </c>
      <c r="K12" s="89">
        <f ca="1">IF(pajak[//]="","",pajak[[#This Row],[Sub Total]]/1.11*11%)</f>
        <v>151076.57657657654</v>
      </c>
      <c r="L12" s="89">
        <f ca="1">pajak[[#This Row],[Sub Total]]</f>
        <v>1524500</v>
      </c>
      <c r="M12" s="86" t="str">
        <f>IF(pajak[[#This Row],[//]]="","",INDEX(Table1[pembuat nota :],pajak[//]-offset))</f>
        <v>RISMA / YO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46</v>
      </c>
      <c r="C13" s="86">
        <f t="shared" si="0"/>
        <v>46</v>
      </c>
      <c r="D13" t="str">
        <f>IF(pajak[[#This Row],[//]]="","",INDEX(Table1[No. Invoice :],pajak[//]-offset))</f>
        <v>AM 23040011</v>
      </c>
      <c r="E13" s="90">
        <f>IF(pajak[[#This Row],[//]]="","",INDEX(Table1[Tgl Invoice :],pajak[//]-offset))</f>
        <v>45031</v>
      </c>
      <c r="F13" s="86" t="str">
        <f>IF(pajak[[#This Row],[//]]="","",INDEX(Table1[Kode Sales :],pajak[//]-offset))</f>
        <v>KO 2945</v>
      </c>
      <c r="G13" s="86" t="str">
        <f>IF(pajak[[#This Row],[//]]="","",INDEX(Table1[Toko],pajak[//]-offset))</f>
        <v>CV DWI JAYA YOGYAKARTA</v>
      </c>
      <c r="H13" s="89">
        <f ca="1">IF(pajak[[#This Row],[//]]="","",SUMIF(Table1[h_id],pajak[[#This Row],[//]],Table1[h_hargasebelumdiskon]))</f>
        <v>1140000</v>
      </c>
      <c r="I13" s="89">
        <f ca="1">IF(pajak[[#This Row],[//]]="","",SUMIF(Table1[h_id],pajak[[#This Row],[//]],Table1[h_diskon]))</f>
        <v>114000</v>
      </c>
      <c r="J13" s="89">
        <f ca="1">IF(pajak[[#This Row],[//]]="","",SUMIF(Table1[h_id],pajak[[#This Row],[//]],Table1[h_hargasetelahdiskon]))</f>
        <v>1026000</v>
      </c>
      <c r="K13" s="89">
        <f ca="1">IF(pajak[//]="","",pajak[[#This Row],[Sub Total]]/1.11*11%)</f>
        <v>101675.67567567567</v>
      </c>
      <c r="L13" s="89">
        <f ca="1">pajak[[#This Row],[Sub Total]]</f>
        <v>1026000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49</v>
      </c>
      <c r="C14" s="86">
        <f t="shared" si="0"/>
        <v>49</v>
      </c>
      <c r="D14" t="str">
        <f>IF(pajak[[#This Row],[//]]="","",INDEX(Table1[No. Invoice :],pajak[//]-offset))</f>
        <v>AM 23040012</v>
      </c>
      <c r="E14" s="90">
        <f>IF(pajak[[#This Row],[//]]="","",INDEX(Table1[Tgl Invoice :],pajak[//]-offset))</f>
        <v>45026</v>
      </c>
      <c r="F14" s="86" t="str">
        <f>IF(pajak[[#This Row],[//]]="","",INDEX(Table1[Kode Sales :],pajak[//]-offset))</f>
        <v>KO 1463</v>
      </c>
      <c r="G14" s="86" t="str">
        <f>IF(pajak[[#This Row],[//]]="","",INDEX(Table1[Toko],pajak[//]-offset))</f>
        <v>HARNOYO (BENDAN) PEKALONGAN</v>
      </c>
      <c r="H14" s="89">
        <f ca="1">IF(pajak[[#This Row],[//]]="","",SUMIF(Table1[h_id],pajak[[#This Row],[//]],Table1[h_hargasebelumdiskon]))</f>
        <v>444000</v>
      </c>
      <c r="I14" s="89">
        <f ca="1">IF(pajak[[#This Row],[//]]="","",SUMIF(Table1[h_id],pajak[[#This Row],[//]],Table1[h_diskon]))</f>
        <v>62160.000000000007</v>
      </c>
      <c r="J14" s="89">
        <f ca="1">IF(pajak[[#This Row],[//]]="","",SUMIF(Table1[h_id],pajak[[#This Row],[//]],Table1[h_hargasetelahdiskon]))</f>
        <v>381840</v>
      </c>
      <c r="K14" s="89">
        <f ca="1">IF(pajak[//]="","",pajak[[#This Row],[Sub Total]]/1.11*11%)</f>
        <v>37839.999999999993</v>
      </c>
      <c r="L14" s="89">
        <f ca="1">pajak[[#This Row],[Sub Total]]</f>
        <v>381840</v>
      </c>
      <c r="M14" s="86" t="str">
        <f>IF(pajak[[#This Row],[//]]="","",INDEX(Table1[pembuat nota :],pajak[//]-offset))</f>
        <v>RISMA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 t="b">
        <f>IF((INDEX([2]Invoice!$J:$J,Table4[[#This Row],[cek_ppn]]+30))=pajak[[#This Row],[pembuat nota]],1)</f>
        <v>0</v>
      </c>
    </row>
    <row r="15" spans="1:24" x14ac:dyDescent="0.25">
      <c r="A15" s="88">
        <v>51</v>
      </c>
      <c r="C15" s="86">
        <f t="shared" si="0"/>
        <v>51</v>
      </c>
      <c r="D15" t="str">
        <f>IF(pajak[[#This Row],[//]]="","",INDEX(Table1[No. Invoice :],pajak[//]-offset))</f>
        <v>AM 23040013</v>
      </c>
      <c r="E15" s="90">
        <f>IF(pajak[[#This Row],[//]]="","",INDEX(Table1[Tgl Invoice :],pajak[//]-offset))</f>
        <v>45026</v>
      </c>
      <c r="F15" s="86" t="str">
        <f>IF(pajak[[#This Row],[//]]="","",INDEX(Table1[Kode Sales :],pajak[//]-offset))</f>
        <v>KO 1464</v>
      </c>
      <c r="G15" s="86" t="str">
        <f>IF(pajak[[#This Row],[//]]="","",INDEX(Table1[Toko],pajak[//]-offset))</f>
        <v>HARNOYO (BENDAN) PEKALONGAN</v>
      </c>
      <c r="H15" s="89">
        <f ca="1">IF(pajak[[#This Row],[//]]="","",SUMIF(Table1[h_id],pajak[[#This Row],[//]],Table1[h_hargasebelumdiskon]))</f>
        <v>222000</v>
      </c>
      <c r="I15" s="89">
        <f ca="1">IF(pajak[[#This Row],[//]]="","",SUMIF(Table1[h_id],pajak[[#This Row],[//]],Table1[h_diskon]))</f>
        <v>31080.000000000004</v>
      </c>
      <c r="J15" s="89">
        <f ca="1">IF(pajak[[#This Row],[//]]="","",SUMIF(Table1[h_id],pajak[[#This Row],[//]],Table1[h_hargasetelahdiskon]))</f>
        <v>190920</v>
      </c>
      <c r="K15" s="89">
        <f ca="1">IF(pajak[//]="","",pajak[[#This Row],[Sub Total]]/1.11*11%)</f>
        <v>18919.999999999996</v>
      </c>
      <c r="L15" s="89">
        <f ca="1">pajak[[#This Row],[Sub Total]]</f>
        <v>190920</v>
      </c>
      <c r="M15" s="86" t="str">
        <f>IF(pajak[[#This Row],[//]]="","",INDEX(Table1[pembuat nota :],pajak[//]-offset))</f>
        <v>RISMA / CONDRO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/>
      <c r="C16" s="86" t="str">
        <f t="shared" si="0"/>
        <v/>
      </c>
      <c r="D16" t="str">
        <f>IF(pajak[[#This Row],[//]]="","",INDEX(Table1[No. Invoice :],pajak[//]-offset))</f>
        <v/>
      </c>
      <c r="E16" s="90" t="str">
        <f>IF(pajak[[#This Row],[//]]="","",INDEX(Table1[Tgl Invoice :],pajak[//]-offset))</f>
        <v/>
      </c>
      <c r="F16" s="86" t="str">
        <f>IF(pajak[[#This Row],[//]]="","",INDEX(Table1[Kode Sales :],pajak[//]-offset))</f>
        <v/>
      </c>
      <c r="G16" s="86" t="str">
        <f>IF(pajak[[#This Row],[//]]="","",INDEX(Table1[Toko],pajak[//]-offset))</f>
        <v/>
      </c>
      <c r="H16" s="89" t="str">
        <f>IF(pajak[[#This Row],[//]]="","",SUMIF(Table1[h_id],pajak[[#This Row],[//]],Table1[h_hargasebelumdiskon]))</f>
        <v/>
      </c>
      <c r="I16" s="89" t="str">
        <f>IF(pajak[[#This Row],[//]]="","",SUMIF(Table1[h_id],pajak[[#This Row],[//]],Table1[h_diskon]))</f>
        <v/>
      </c>
      <c r="J16" s="89" t="str">
        <f>IF(pajak[[#This Row],[//]]="","",SUMIF(Table1[h_id],pajak[[#This Row],[//]],Table1[h_hargasetelahdiskon]))</f>
        <v/>
      </c>
      <c r="K16" s="89" t="str">
        <f>IF(pajak[//]="","",pajak[[#This Row],[Sub Total]]/1.11*11%)</f>
        <v/>
      </c>
      <c r="L16" s="89" t="str">
        <f>pajak[[#This Row],[Sub Total]]</f>
        <v/>
      </c>
      <c r="M16" s="86" t="str">
        <f>IF(pajak[[#This Row],[//]]="","",INDEX(Table1[pembuat nota :],pajak[//]-offset))</f>
        <v/>
      </c>
      <c r="N16" s="86" t="str">
        <f>IF(pajak[[#This Row],[//]]="","",IF(INDEX(Table1[edited :],pajak[//]-offset)="","",INDEX(Table1[edited :],pajak[//]-offset)))</f>
        <v/>
      </c>
      <c r="P16" t="str">
        <f>IF(pajak[[#This Row],[Kode Sales :]]="","",MATCH(pajak[[#This Row],[Kode Sales :]],[2]Invoice!$D:$D,0))</f>
        <v/>
      </c>
      <c r="Q16" s="193" t="e">
        <f>IF((INDEX([2]Invoice!$D:$D,Table4[[#This Row],[cek_ppn]]-4)&amp;" "&amp;INDEX([2]Invoice!$E:$E,Table4[[#This Row],[cek_ppn]]-4))=pajak[[#This Row],[No. Invoice :]],1)</f>
        <v>#VALUE!</v>
      </c>
      <c r="R16" s="193" t="e">
        <f>IF((INDEX([2]Invoice!$D:$D,Table4[[#This Row],[cek_ppn]]-2))=pajak[[#This Row],[Tgl Invoice :]],1)</f>
        <v>#VALUE!</v>
      </c>
      <c r="S16" s="193" t="e">
        <f>IF((INDEX([2]Invoice!$D:$D,Table4[[#This Row],[cek_ppn]]))=pajak[[#This Row],[Kode Sales :]],1)</f>
        <v>#VALUE!</v>
      </c>
      <c r="T16" s="193" t="e">
        <f>IF((INDEX([2]Invoice!$K:$K,Table4[[#This Row],[cek_ppn]]+28))=pajak[[#This Row],[Total Invoice]],1)</f>
        <v>#VALUE!</v>
      </c>
      <c r="U16" s="194" t="e">
        <f>IF((INDEX([2]Invoice!$J:$J,Table4[[#This Row],[cek_ppn]]+30))=pajak[[#This Row],[pembuat nota]],1)</f>
        <v>#VALUE!</v>
      </c>
    </row>
    <row r="17" spans="1:21" x14ac:dyDescent="0.25">
      <c r="A17" s="88" t="s">
        <v>55</v>
      </c>
      <c r="C17" s="86" t="str">
        <f t="shared" si="0"/>
        <v/>
      </c>
      <c r="D17" t="str">
        <f>IF(pajak[[#This Row],[//]]="","",INDEX(Table1[No. Invoice :],pajak[//]-offset))</f>
        <v/>
      </c>
      <c r="E17" s="90" t="str">
        <f>IF(pajak[[#This Row],[//]]="","",INDEX(Table1[Tgl Invoice :],pajak[//]-offset))</f>
        <v/>
      </c>
      <c r="F17" s="86" t="str">
        <f>IF(pajak[[#This Row],[//]]="","",INDEX(Table1[Kode Sales :],pajak[//]-offset))</f>
        <v/>
      </c>
      <c r="G17" s="86" t="str">
        <f>IF(pajak[[#This Row],[//]]="","",INDEX(Table1[Toko],pajak[//]-offset))</f>
        <v/>
      </c>
      <c r="H17" s="89" t="str">
        <f>IF(pajak[[#This Row],[//]]="","",SUMIF(Table1[h_id],pajak[[#This Row],[//]],Table1[h_hargasebelumdiskon]))</f>
        <v/>
      </c>
      <c r="I17" s="89" t="str">
        <f>IF(pajak[[#This Row],[//]]="","",SUMIF(Table1[h_id],pajak[[#This Row],[//]],Table1[h_diskon]))</f>
        <v/>
      </c>
      <c r="J17" s="89" t="str">
        <f>IF(pajak[[#This Row],[//]]="","",SUMIF(Table1[h_id],pajak[[#This Row],[//]],Table1[h_hargasetelahdiskon]))</f>
        <v/>
      </c>
      <c r="K17" s="89" t="str">
        <f>IF(pajak[//]="","",pajak[[#This Row],[Sub Total]]/1.11*11%)</f>
        <v/>
      </c>
      <c r="L17" s="89" t="str">
        <f>pajak[[#This Row],[Sub Total]]</f>
        <v/>
      </c>
      <c r="M17" s="86" t="str">
        <f>IF(pajak[[#This Row],[//]]="","",INDEX(Table1[pembuat nota :],pajak[//]-offset))</f>
        <v/>
      </c>
      <c r="N17" s="86" t="str">
        <f>IF(pajak[[#This Row],[//]]="","",IF(INDEX(Table1[edited :],pajak[//]-offset)="","",INDEX(Table1[edited :],pajak[//]-offset)))</f>
        <v/>
      </c>
      <c r="P17" t="str">
        <f>IF(pajak[[#This Row],[Kode Sales :]]="","",MATCH(pajak[[#This Row],[Kode Sales :]],[2]Invoice!$D:$D,0))</f>
        <v/>
      </c>
      <c r="Q17" s="193" t="e">
        <f>IF((INDEX([2]Invoice!$D:$D,Table4[[#This Row],[cek_ppn]]-4)&amp;" "&amp;INDEX([2]Invoice!$E:$E,Table4[[#This Row],[cek_ppn]]-4))=pajak[[#This Row],[No. Invoice :]],1)</f>
        <v>#VALUE!</v>
      </c>
      <c r="R17" s="193" t="e">
        <f>IF((INDEX([2]Invoice!$D:$D,Table4[[#This Row],[cek_ppn]]-2))=pajak[[#This Row],[Tgl Invoice :]],1)</f>
        <v>#VALUE!</v>
      </c>
      <c r="S17" s="193" t="e">
        <f>IF((INDEX([2]Invoice!$D:$D,Table4[[#This Row],[cek_ppn]]))=pajak[[#This Row],[Kode Sales :]],1)</f>
        <v>#VALUE!</v>
      </c>
      <c r="T17" s="193" t="e">
        <f>IF((INDEX([2]Invoice!$K:$K,Table4[[#This Row],[cek_ppn]]+28))=pajak[[#This Row],[Total Invoice]],1)</f>
        <v>#VALUE!</v>
      </c>
      <c r="U17" s="194" t="e">
        <f>IF((INDEX([2]Invoice!$J:$J,Table4[[#This Row],[cek_ppn]]+30))=pajak[[#This Row],[pembuat nota]],1)</f>
        <v>#VALUE!</v>
      </c>
    </row>
    <row r="18" spans="1:21" x14ac:dyDescent="0.25">
      <c r="C18" s="86" t="str">
        <f t="shared" si="0"/>
        <v/>
      </c>
      <c r="D18" t="str">
        <f>IF(pajak[[#This Row],[//]]="","",INDEX(Table1[No. Invoice :],pajak[//]-offset))</f>
        <v/>
      </c>
      <c r="E18" s="90" t="str">
        <f>IF(pajak[[#This Row],[//]]="","",INDEX(Table1[Tgl Invoice :],pajak[//]-offset))</f>
        <v/>
      </c>
      <c r="F18" s="86" t="str">
        <f>IF(pajak[[#This Row],[//]]="","",INDEX(Table1[Kode Sales :],pajak[//]-offset))</f>
        <v/>
      </c>
      <c r="G18" s="86" t="str">
        <f>IF(pajak[[#This Row],[//]]="","",INDEX(Table1[Toko],pajak[//]-offset))</f>
        <v/>
      </c>
      <c r="H18" s="89" t="str">
        <f>IF(pajak[[#This Row],[//]]="","",SUMIF(Table1[h_id],pajak[[#This Row],[//]],Table1[h_hargasebelumdiskon]))</f>
        <v/>
      </c>
      <c r="I18" s="89" t="str">
        <f>IF(pajak[[#This Row],[//]]="","",SUMIF(Table1[h_id],pajak[[#This Row],[//]],Table1[h_diskon]))</f>
        <v/>
      </c>
      <c r="J18" s="89" t="str">
        <f>IF(pajak[[#This Row],[//]]="","",SUMIF(Table1[h_id],pajak[[#This Row],[//]],Table1[h_hargasetelahdiskon]))</f>
        <v/>
      </c>
      <c r="K18" s="89" t="str">
        <f>IF(pajak[//]="","",pajak[[#This Row],[Sub Total]]/1.11*11%)</f>
        <v/>
      </c>
      <c r="L18" s="89" t="str">
        <f>pajak[[#This Row],[Sub Total]]</f>
        <v/>
      </c>
      <c r="M18" s="86" t="str">
        <f>IF(pajak[[#This Row],[//]]="","",INDEX(Table1[pembuat nota :],pajak[//]-offset))</f>
        <v/>
      </c>
      <c r="N18" s="86" t="str">
        <f>IF(pajak[[#This Row],[//]]="","",IF(INDEX(Table1[edited :],pajak[//]-offset)="","",INDEX(Table1[edited :],pajak[//]-offset)))</f>
        <v/>
      </c>
      <c r="P18" t="str">
        <f>IF(pajak[[#This Row],[Kode Sales :]]="","",MATCH(pajak[[#This Row],[Kode Sales :]],[2]Invoice!$D:$D,0))</f>
        <v/>
      </c>
      <c r="Q18" s="193" t="e">
        <f>IF((INDEX([2]Invoice!$D:$D,Table4[[#This Row],[cek_ppn]]-4)&amp;" "&amp;INDEX([2]Invoice!$E:$E,Table4[[#This Row],[cek_ppn]]-4))=pajak[[#This Row],[No. Invoice :]],1)</f>
        <v>#VALUE!</v>
      </c>
      <c r="R18" s="193" t="e">
        <f>IF((INDEX([2]Invoice!$D:$D,Table4[[#This Row],[cek_ppn]]-2))=pajak[[#This Row],[Tgl Invoice :]],1)</f>
        <v>#VALUE!</v>
      </c>
      <c r="S18" s="193" t="e">
        <f>IF((INDEX([2]Invoice!$D:$D,Table4[[#This Row],[cek_ppn]]))=pajak[[#This Row],[Kode Sales :]],1)</f>
        <v>#VALUE!</v>
      </c>
      <c r="T18" s="193" t="e">
        <f>IF((INDEX([2]Invoice!$K:$K,Table4[[#This Row],[cek_ppn]]+28))=pajak[[#This Row],[Total Invoice]],1)</f>
        <v>#VALUE!</v>
      </c>
      <c r="U18" s="194" t="e">
        <f>IF((INDEX([2]Invoice!$J:$J,Table4[[#This Row],[cek_ppn]]+30))=pajak[[#This Row],[pembuat nota]],1)</f>
        <v>#VALUE!</v>
      </c>
    </row>
    <row r="19" spans="1:21" x14ac:dyDescent="0.25">
      <c r="B19" s="299"/>
      <c r="C19" s="86" t="str">
        <f t="shared" si="0"/>
        <v/>
      </c>
      <c r="D19" t="str">
        <f>IF(pajak[[#This Row],[//]]="","",INDEX(Table1[No. Invoice :],pajak[//]-offset))</f>
        <v/>
      </c>
      <c r="E19" s="90" t="str">
        <f>IF(pajak[[#This Row],[//]]="","",INDEX(Table1[Tgl Invoice :],pajak[//]-offset))</f>
        <v/>
      </c>
      <c r="F19" s="86" t="str">
        <f>IF(pajak[[#This Row],[//]]="","",INDEX(Table1[Kode Sales :],pajak[//]-offset))</f>
        <v/>
      </c>
      <c r="G19" s="86" t="str">
        <f>IF(pajak[[#This Row],[//]]="","",INDEX(Table1[Toko],pajak[//]-offset))</f>
        <v/>
      </c>
      <c r="H19" s="89" t="str">
        <f>IF(pajak[[#This Row],[//]]="","",SUMIF(Table1[h_id],pajak[[#This Row],[//]],Table1[h_hargasebelumdiskon]))</f>
        <v/>
      </c>
      <c r="I19" s="89" t="str">
        <f>IF(pajak[[#This Row],[//]]="","",SUMIF(Table1[h_id],pajak[[#This Row],[//]],Table1[h_diskon]))</f>
        <v/>
      </c>
      <c r="J19" s="89" t="str">
        <f>IF(pajak[[#This Row],[//]]="","",SUMIF(Table1[h_id],pajak[[#This Row],[//]],Table1[h_hargasetelahdiskon]))</f>
        <v/>
      </c>
      <c r="K19" s="89" t="str">
        <f>IF(pajak[//]="","",pajak[[#This Row],[Sub Total]]/1.11*11%)</f>
        <v/>
      </c>
      <c r="L19" s="89" t="str">
        <f>pajak[[#This Row],[Sub Total]]</f>
        <v/>
      </c>
      <c r="M19" s="86" t="str">
        <f>IF(pajak[[#This Row],[//]]="","",INDEX(Table1[pembuat nota :],pajak[//]-offset))</f>
        <v/>
      </c>
      <c r="N19" s="86" t="str">
        <f>IF(pajak[[#This Row],[//]]="","",IF(INDEX(Table1[edited :],pajak[//]-offset)="","",INDEX(Table1[edited :],pajak[//]-offset)))</f>
        <v/>
      </c>
      <c r="P19" t="str">
        <f>IF(pajak[[#This Row],[Kode Sales :]]="","",MATCH(pajak[[#This Row],[Kode Sales :]],[2]Invoice!$D:$D,0))</f>
        <v/>
      </c>
      <c r="Q19" s="193" t="e">
        <f>IF((INDEX([2]Invoice!$D:$D,Table4[[#This Row],[cek_ppn]]-4)&amp;" "&amp;INDEX([2]Invoice!$E:$E,Table4[[#This Row],[cek_ppn]]-4))=pajak[[#This Row],[No. Invoice :]],1)</f>
        <v>#VALUE!</v>
      </c>
      <c r="R19" s="193" t="e">
        <f>IF((INDEX([2]Invoice!$D:$D,Table4[[#This Row],[cek_ppn]]-2))=pajak[[#This Row],[Tgl Invoice :]],1)</f>
        <v>#VALUE!</v>
      </c>
      <c r="S19" s="193" t="e">
        <f>IF((INDEX([2]Invoice!$D:$D,Table4[[#This Row],[cek_ppn]]))=pajak[[#This Row],[Kode Sales :]],1)</f>
        <v>#VALUE!</v>
      </c>
      <c r="T19" s="193" t="e">
        <f>IF((INDEX([2]Invoice!$K:$K,Table4[[#This Row],[cek_ppn]]+28))=pajak[[#This Row],[Total Invoice]],1)</f>
        <v>#VALUE!</v>
      </c>
      <c r="U19" s="194" t="e">
        <f>IF((INDEX([2]Invoice!$J:$J,Table4[[#This Row],[cek_ppn]]+30))=pajak[[#This Row],[pembuat nota]],1)</f>
        <v>#VALUE!</v>
      </c>
    </row>
    <row r="20" spans="1:21" x14ac:dyDescent="0.25">
      <c r="C20" s="86" t="str">
        <f t="shared" si="0"/>
        <v/>
      </c>
      <c r="D20" t="str">
        <f>IF(pajak[[#This Row],[//]]="","",INDEX(Table1[No. Invoice :],pajak[//]-offset))</f>
        <v/>
      </c>
      <c r="E20" s="90" t="str">
        <f>IF(pajak[[#This Row],[//]]="","",INDEX(Table1[Tgl Invoice :],pajak[//]-offset))</f>
        <v/>
      </c>
      <c r="F20" s="86" t="str">
        <f>IF(pajak[[#This Row],[//]]="","",INDEX(Table1[Kode Sales :],pajak[//]-offset))</f>
        <v/>
      </c>
      <c r="G20" s="86" t="str">
        <f>IF(pajak[[#This Row],[//]]="","",INDEX(Table1[Toko],pajak[//]-offset))</f>
        <v/>
      </c>
      <c r="H20" s="89" t="str">
        <f>IF(pajak[[#This Row],[//]]="","",SUMIF(Table1[h_id],pajak[[#This Row],[//]],Table1[h_hargasebelumdiskon]))</f>
        <v/>
      </c>
      <c r="I20" s="89" t="str">
        <f>IF(pajak[[#This Row],[//]]="","",SUMIF(Table1[h_id],pajak[[#This Row],[//]],Table1[h_diskon]))</f>
        <v/>
      </c>
      <c r="J20" s="89" t="str">
        <f>IF(pajak[[#This Row],[//]]="","",SUMIF(Table1[h_id],pajak[[#This Row],[//]],Table1[h_hargasetelahdiskon]))</f>
        <v/>
      </c>
      <c r="K20" s="89" t="str">
        <f>IF(pajak[//]="","",pajak[[#This Row],[Sub Total]]/1.11*11%)</f>
        <v/>
      </c>
      <c r="L20" s="89" t="str">
        <f>pajak[[#This Row],[Sub Total]]</f>
        <v/>
      </c>
      <c r="M20" s="86" t="str">
        <f>IF(pajak[[#This Row],[//]]="","",INDEX(Table1[pembuat nota :],pajak[//]-offset))</f>
        <v/>
      </c>
      <c r="N20" s="86" t="str">
        <f>IF(pajak[[#This Row],[//]]="","",IF(INDEX(Table1[edited :],pajak[//]-offset)="","",INDEX(Table1[edited :],pajak[//]-offset)))</f>
        <v/>
      </c>
      <c r="P20" t="str">
        <f>IF(pajak[[#This Row],[Kode Sales :]]="","",MATCH(pajak[[#This Row],[Kode Sales :]],[2]Invoice!$D:$D,0))</f>
        <v/>
      </c>
      <c r="Q20" s="193" t="e">
        <f>IF((INDEX([2]Invoice!$D:$D,Table4[[#This Row],[cek_ppn]]-4)&amp;" "&amp;INDEX([2]Invoice!$E:$E,Table4[[#This Row],[cek_ppn]]-4))=pajak[[#This Row],[No. Invoice :]],1)</f>
        <v>#VALUE!</v>
      </c>
      <c r="R20" s="193" t="e">
        <f>IF((INDEX([2]Invoice!$D:$D,Table4[[#This Row],[cek_ppn]]-2))=pajak[[#This Row],[Tgl Invoice :]],1)</f>
        <v>#VALUE!</v>
      </c>
      <c r="S20" s="193" t="e">
        <f>IF((INDEX([2]Invoice!$D:$D,Table4[[#This Row],[cek_ppn]]))=pajak[[#This Row],[Kode Sales :]],1)</f>
        <v>#VALUE!</v>
      </c>
      <c r="T20" s="193" t="e">
        <f>IF((INDEX([2]Invoice!$K:$K,Table4[[#This Row],[cek_ppn]]+28))=pajak[[#This Row],[Total Invoice]],1)</f>
        <v>#VALUE!</v>
      </c>
      <c r="U20" s="194" t="e">
        <f>IF((INDEX([2]Invoice!$J:$J,Table4[[#This Row],[cek_ppn]]+30))=pajak[[#This Row],[pembuat nota]],1)</f>
        <v>#VALUE!</v>
      </c>
    </row>
    <row r="21" spans="1:21" x14ac:dyDescent="0.25">
      <c r="C21" s="86" t="str">
        <f t="shared" si="0"/>
        <v/>
      </c>
      <c r="D21" t="str">
        <f>IF(pajak[[#This Row],[//]]="","",INDEX(Table1[No. Invoice :],pajak[//]-offset))</f>
        <v/>
      </c>
      <c r="E21" s="90" t="str">
        <f>IF(pajak[[#This Row],[//]]="","",INDEX(Table1[Tgl Invoice :],pajak[//]-offset))</f>
        <v/>
      </c>
      <c r="F21" s="86" t="str">
        <f>IF(pajak[[#This Row],[//]]="","",INDEX(Table1[Kode Sales :],pajak[//]-offset))</f>
        <v/>
      </c>
      <c r="G21" s="86" t="str">
        <f>IF(pajak[[#This Row],[//]]="","",INDEX(Table1[Toko],pajak[//]-offset))</f>
        <v/>
      </c>
      <c r="H21" s="89" t="str">
        <f>IF(pajak[[#This Row],[//]]="","",SUMIF(Table1[h_id],pajak[[#This Row],[//]],Table1[h_hargasebelumdiskon]))</f>
        <v/>
      </c>
      <c r="I21" s="89" t="str">
        <f>IF(pajak[[#This Row],[//]]="","",SUMIF(Table1[h_id],pajak[[#This Row],[//]],Table1[h_diskon]))</f>
        <v/>
      </c>
      <c r="J21" s="89" t="str">
        <f>IF(pajak[[#This Row],[//]]="","",SUMIF(Table1[h_id],pajak[[#This Row],[//]],Table1[h_hargasetelahdiskon]))</f>
        <v/>
      </c>
      <c r="K21" s="89" t="str">
        <f>IF(pajak[//]="","",pajak[[#This Row],[Sub Total]]/1.11*11%)</f>
        <v/>
      </c>
      <c r="L21" s="89" t="str">
        <f>pajak[[#This Row],[Sub Total]]</f>
        <v/>
      </c>
      <c r="M21" s="86" t="str">
        <f>IF(pajak[[#This Row],[//]]="","",INDEX(Table1[pembuat nota :],pajak[//]-offset))</f>
        <v/>
      </c>
      <c r="N21" s="86" t="str">
        <f>IF(pajak[[#This Row],[//]]="","",IF(INDEX(Table1[edited :],pajak[//]-offset)="","",INDEX(Table1[edited :],pajak[//]-offset)))</f>
        <v/>
      </c>
      <c r="P21" t="str">
        <f>IF(pajak[[#This Row],[Kode Sales :]]="","",MATCH(pajak[[#This Row],[Kode Sales :]],[2]Invoice!$D:$D,0))</f>
        <v/>
      </c>
      <c r="Q21" s="193" t="e">
        <f>IF((INDEX([2]Invoice!$D:$D,Table4[[#This Row],[cek_ppn]]-4)&amp;" "&amp;INDEX([2]Invoice!$E:$E,Table4[[#This Row],[cek_ppn]]-4))=pajak[[#This Row],[No. Invoice :]],1)</f>
        <v>#VALUE!</v>
      </c>
      <c r="R21" s="193" t="e">
        <f>IF((INDEX([2]Invoice!$D:$D,Table4[[#This Row],[cek_ppn]]-2))=pajak[[#This Row],[Tgl Invoice :]],1)</f>
        <v>#VALUE!</v>
      </c>
      <c r="S21" s="193" t="e">
        <f>IF((INDEX([2]Invoice!$D:$D,Table4[[#This Row],[cek_ppn]]))=pajak[[#This Row],[Kode Sales :]],1)</f>
        <v>#VALUE!</v>
      </c>
      <c r="T21" s="193" t="e">
        <f>IF((INDEX([2]Invoice!$K:$K,Table4[[#This Row],[cek_ppn]]+28))=pajak[[#This Row],[Total Invoice]],1)</f>
        <v>#VALUE!</v>
      </c>
      <c r="U21" s="194" t="e">
        <f>IF((INDEX([2]Invoice!$J:$J,Table4[[#This Row],[cek_ppn]]+30))=pajak[[#This Row],[pembuat nota]],1)</f>
        <v>#VALUE!</v>
      </c>
    </row>
    <row r="22" spans="1:21" x14ac:dyDescent="0.25">
      <c r="C22" s="86" t="str">
        <f t="shared" si="0"/>
        <v/>
      </c>
      <c r="D22" s="86" t="str">
        <f>IF(pajak[[#This Row],[//]]="","",INDEX(Table1[No. Invoice :],pajak[//]-offset))</f>
        <v/>
      </c>
      <c r="E22" s="90" t="str">
        <f>IF(pajak[[#This Row],[//]]="","",INDEX(Table1[Tgl Invoice :],pajak[//]-offset))</f>
        <v/>
      </c>
      <c r="F22" s="86" t="str">
        <f>IF(pajak[[#This Row],[//]]="","",INDEX(Table1[Kode Sales :],pajak[//]-offset))</f>
        <v/>
      </c>
      <c r="G22" s="86" t="str">
        <f>IF(pajak[[#This Row],[//]]="","",INDEX(Table1[Toko],pajak[//]-offset))</f>
        <v/>
      </c>
      <c r="H22" s="89" t="str">
        <f>IF(pajak[[#This Row],[//]]="","",SUMIF(Table1[h_id],pajak[[#This Row],[//]],Table1[h_hargasebelumdiskon]))</f>
        <v/>
      </c>
      <c r="I22" s="89" t="str">
        <f>IF(pajak[[#This Row],[//]]="","",SUMIF(Table1[h_id],pajak[[#This Row],[//]],Table1[h_diskon]))</f>
        <v/>
      </c>
      <c r="J22" s="89" t="str">
        <f>IF(pajak[[#This Row],[//]]="","",SUMIF(Table1[h_id],pajak[[#This Row],[//]],Table1[h_hargasetelahdiskon]))</f>
        <v/>
      </c>
      <c r="K22" s="89" t="str">
        <f>IF(pajak[//]="","",pajak[[#This Row],[Sub Total]]/1.11*11%)</f>
        <v/>
      </c>
      <c r="L22" s="89" t="str">
        <f>pajak[[#This Row],[Sub Total]]</f>
        <v/>
      </c>
      <c r="M22" s="86" t="str">
        <f>IF(pajak[[#This Row],[//]]="","",INDEX(Table1[pembuat nota :],pajak[//]-offset))</f>
        <v/>
      </c>
      <c r="N22" s="86" t="str">
        <f>IF(pajak[[#This Row],[//]]="","",IF(INDEX(Table1[edited :],pajak[//]-offset)="","",INDEX(Table1[edited :],pajak[//]-offset)))</f>
        <v/>
      </c>
      <c r="P22" t="str">
        <f>IF(pajak[[#This Row],[Kode Sales :]]="","",MATCH(pajak[[#This Row],[Kode Sales :]],[2]Invoice!$D:$D,0))</f>
        <v/>
      </c>
      <c r="Q22" s="193" t="e">
        <f>IF((INDEX([2]Invoice!$D:$D,Table4[[#This Row],[cek_ppn]]-4)&amp;" "&amp;INDEX([2]Invoice!$E:$E,Table4[[#This Row],[cek_ppn]]-4))=pajak[[#This Row],[No. Invoice :]],1)</f>
        <v>#VALUE!</v>
      </c>
      <c r="R22" s="193" t="e">
        <f>IF((INDEX([2]Invoice!$D:$D,Table4[[#This Row],[cek_ppn]]-2))=pajak[[#This Row],[Tgl Invoice :]],1)</f>
        <v>#VALUE!</v>
      </c>
      <c r="S22" s="193" t="e">
        <f>IF((INDEX([2]Invoice!$D:$D,Table4[[#This Row],[cek_ppn]]))=pajak[[#This Row],[Kode Sales :]],1)</f>
        <v>#VALUE!</v>
      </c>
      <c r="T22" s="193" t="e">
        <f>IF((INDEX([2]Invoice!$K:$K,Table4[[#This Row],[cek_ppn]]+28))=pajak[[#This Row],[Total Invoice]],1)</f>
        <v>#VALUE!</v>
      </c>
      <c r="U22" s="194" t="e">
        <f>IF((INDEX([2]Invoice!$J:$J,Table4[[#This Row],[cek_ppn]]+30))=pajak[[#This Row],[pembuat nota]],1)</f>
        <v>#VALUE!</v>
      </c>
    </row>
    <row r="23" spans="1:21" x14ac:dyDescent="0.25">
      <c r="C23" s="86" t="str">
        <f t="shared" si="0"/>
        <v/>
      </c>
      <c r="D23" s="86" t="str">
        <f>IF(pajak[[#This Row],[//]]="","",INDEX(Table1[No. Invoice :],pajak[//]-offset))</f>
        <v/>
      </c>
      <c r="E23" s="90" t="str">
        <f>IF(pajak[[#This Row],[//]]="","",INDEX(Table1[Tgl Invoice :],pajak[//]-offset))</f>
        <v/>
      </c>
      <c r="F23" s="86" t="str">
        <f>IF(pajak[[#This Row],[//]]="","",INDEX(Table1[Kode Sales :],pajak[//]-offset))</f>
        <v/>
      </c>
      <c r="G23" s="86" t="str">
        <f>IF(pajak[[#This Row],[//]]="","",INDEX(Table1[Toko],pajak[//]-offset))</f>
        <v/>
      </c>
      <c r="H23" s="89" t="str">
        <f>IF(pajak[[#This Row],[//]]="","",SUMIF(Table1[h_id],pajak[[#This Row],[//]],Table1[h_hargasebelumdiskon]))</f>
        <v/>
      </c>
      <c r="I23" s="89" t="str">
        <f>IF(pajak[[#This Row],[//]]="","",SUMIF(Table1[h_id],pajak[[#This Row],[//]],Table1[h_diskon]))</f>
        <v/>
      </c>
      <c r="J23" s="89" t="str">
        <f>IF(pajak[[#This Row],[//]]="","",SUMIF(Table1[h_id],pajak[[#This Row],[//]],Table1[h_hargasetelahdiskon]))</f>
        <v/>
      </c>
      <c r="K23" s="89" t="str">
        <f>IF(pajak[//]="","",pajak[[#This Row],[Sub Total]]/1.11*11%)</f>
        <v/>
      </c>
      <c r="L23" s="89" t="str">
        <f>pajak[[#This Row],[Sub Total]]</f>
        <v/>
      </c>
      <c r="M23" s="86" t="str">
        <f>IF(pajak[[#This Row],[//]]="","",INDEX(Table1[pembuat nota :],pajak[//]-offset))</f>
        <v/>
      </c>
      <c r="N23" s="86" t="str">
        <f>IF(pajak[[#This Row],[//]]="","",IF(INDEX(Table1[edited :],pajak[//]-offset)="","",INDEX(Table1[edited :],pajak[//]-offset)))</f>
        <v/>
      </c>
      <c r="P23" t="str">
        <f>IF(pajak[[#This Row],[Kode Sales :]]="","",MATCH(pajak[[#This Row],[Kode Sales :]],[2]Invoice!$D:$D,0))</f>
        <v/>
      </c>
      <c r="Q23" s="193" t="e">
        <f>IF((INDEX([2]Invoice!$D:$D,Table4[[#This Row],[cek_ppn]]-4)&amp;" "&amp;INDEX([2]Invoice!$E:$E,Table4[[#This Row],[cek_ppn]]-4))=pajak[[#This Row],[No. Invoice :]],1)</f>
        <v>#VALUE!</v>
      </c>
      <c r="R23" s="193" t="e">
        <f>IF((INDEX([2]Invoice!$D:$D,Table4[[#This Row],[cek_ppn]]-2))=pajak[[#This Row],[Tgl Invoice :]],1)</f>
        <v>#VALUE!</v>
      </c>
      <c r="S23" s="193" t="e">
        <f>IF((INDEX([2]Invoice!$D:$D,Table4[[#This Row],[cek_ppn]]))=pajak[[#This Row],[Kode Sales :]],1)</f>
        <v>#VALUE!</v>
      </c>
      <c r="T23" s="193" t="e">
        <f>IF((INDEX([2]Invoice!$K:$K,Table4[[#This Row],[cek_ppn]]+28))=pajak[[#This Row],[Total Invoice]],1)</f>
        <v>#VALUE!</v>
      </c>
      <c r="U23" s="194" t="e">
        <f>IF((INDEX([2]Invoice!$J:$J,Table4[[#This Row],[cek_ppn]]+30))=pajak[[#This Row],[pembuat nota]],1)</f>
        <v>#VALUE!</v>
      </c>
    </row>
    <row r="24" spans="1:21" x14ac:dyDescent="0.25">
      <c r="C24" s="86" t="str">
        <f t="shared" si="0"/>
        <v/>
      </c>
      <c r="D24" s="86" t="str">
        <f>IF(pajak[[#This Row],[//]]="","",INDEX(Table1[No. Invoice :],pajak[//]-offset))</f>
        <v/>
      </c>
      <c r="E24" s="90" t="str">
        <f>IF(pajak[[#This Row],[//]]="","",INDEX(Table1[Tgl Invoice :],pajak[//]-offset))</f>
        <v/>
      </c>
      <c r="F24" s="86" t="str">
        <f>IF(pajak[[#This Row],[//]]="","",INDEX(Table1[Kode Sales :],pajak[//]-offset))</f>
        <v/>
      </c>
      <c r="G24" s="86" t="str">
        <f>IF(pajak[[#This Row],[//]]="","",INDEX(Table1[Toko],pajak[//]-offset))</f>
        <v/>
      </c>
      <c r="H24" s="89" t="str">
        <f>IF(pajak[[#This Row],[//]]="","",SUMIF(Table1[h_id],pajak[[#This Row],[//]],Table1[h_hargasebelumdiskon]))</f>
        <v/>
      </c>
      <c r="I24" s="89" t="str">
        <f>IF(pajak[[#This Row],[//]]="","",SUMIF(Table1[h_id],pajak[[#This Row],[//]],Table1[h_diskon]))</f>
        <v/>
      </c>
      <c r="J24" s="89" t="str">
        <f>IF(pajak[[#This Row],[//]]="","",SUMIF(Table1[h_id],pajak[[#This Row],[//]],Table1[h_hargasetelahdiskon]))</f>
        <v/>
      </c>
      <c r="K24" s="89" t="str">
        <f>IF(pajak[//]="","",pajak[[#This Row],[Sub Total]]/1.11*11%)</f>
        <v/>
      </c>
      <c r="L24" s="89" t="str">
        <f>pajak[[#This Row],[Sub Total]]</f>
        <v/>
      </c>
      <c r="M24" s="86" t="str">
        <f>IF(pajak[[#This Row],[//]]="","",INDEX(Table1[pembuat nota :],pajak[//]-offset))</f>
        <v/>
      </c>
      <c r="N24" s="86" t="str">
        <f>IF(pajak[[#This Row],[//]]="","",IF(INDEX(Table1[edited :],pajak[//]-offset)="","",INDEX(Table1[edited :],pajak[//]-offset)))</f>
        <v/>
      </c>
      <c r="P24" s="86" t="str">
        <f>IF(pajak[[#This Row],[Kode Sales :]]="","",MATCH(pajak[[#This Row],[Kode Sales :]],[2]Invoice!$D:$D,0))</f>
        <v/>
      </c>
      <c r="Q24" s="194" t="e">
        <f>IF((INDEX([2]Invoice!$D:$D,Table4[[#This Row],[cek_ppn]]-4)&amp;" "&amp;INDEX([2]Invoice!$E:$E,Table4[[#This Row],[cek_ppn]]-4))=pajak[[#This Row],[No. Invoice :]],1)</f>
        <v>#VALUE!</v>
      </c>
      <c r="R24" s="194" t="e">
        <f>IF((INDEX([2]Invoice!$D:$D,Table4[[#This Row],[cek_ppn]]-2))=pajak[[#This Row],[Tgl Invoice :]],1)</f>
        <v>#VALUE!</v>
      </c>
      <c r="S24" s="194" t="e">
        <f>IF((INDEX([2]Invoice!$D:$D,Table4[[#This Row],[cek_ppn]]))=pajak[[#This Row],[Kode Sales :]],1)</f>
        <v>#VALUE!</v>
      </c>
      <c r="T24" s="194" t="e">
        <f>IF((INDEX([2]Invoice!$K:$K,Table4[[#This Row],[cek_ppn]]+28))=pajak[[#This Row],[Total Invoice]],1)</f>
        <v>#VALUE!</v>
      </c>
      <c r="U24" s="194" t="e">
        <f>IF((INDEX([2]Invoice!$J:$J,Table4[[#This Row],[cek_ppn]]+30))=pajak[[#This Row],[pembuat nota]],1)</f>
        <v>#VALUE!</v>
      </c>
    </row>
    <row r="25" spans="1:21" x14ac:dyDescent="0.25">
      <c r="C25" s="86" t="str">
        <f t="shared" si="0"/>
        <v/>
      </c>
      <c r="D25" s="86" t="str">
        <f>IF(pajak[[#This Row],[//]]="","",INDEX(Table1[No. Invoice :],pajak[//]-offset))</f>
        <v/>
      </c>
      <c r="E25" s="90" t="str">
        <f>IF(pajak[[#This Row],[//]]="","",INDEX(Table1[Tgl Invoice :],pajak[//]-offset))</f>
        <v/>
      </c>
      <c r="F25" s="86" t="str">
        <f>IF(pajak[[#This Row],[//]]="","",INDEX(Table1[Kode Sales :],pajak[//]-offset))</f>
        <v/>
      </c>
      <c r="G25" s="86" t="str">
        <f>IF(pajak[[#This Row],[//]]="","",INDEX(Table1[Toko],pajak[//]-offset))</f>
        <v/>
      </c>
      <c r="H25" s="89" t="str">
        <f>IF(pajak[[#This Row],[//]]="","",SUMIF(Table1[h_id],pajak[[#This Row],[//]],Table1[h_hargasebelumdiskon]))</f>
        <v/>
      </c>
      <c r="I25" s="89" t="str">
        <f>IF(pajak[[#This Row],[//]]="","",SUMIF(Table1[h_id],pajak[[#This Row],[//]],Table1[h_diskon]))</f>
        <v/>
      </c>
      <c r="J25" s="89" t="str">
        <f>IF(pajak[[#This Row],[//]]="","",SUMIF(Table1[h_id],pajak[[#This Row],[//]],Table1[h_hargasetelahdiskon]))</f>
        <v/>
      </c>
      <c r="K25" s="89" t="str">
        <f>IF(pajak[//]="","",pajak[[#This Row],[Sub Total]]/1.11*11%)</f>
        <v/>
      </c>
      <c r="L25" s="89" t="str">
        <f>pajak[[#This Row],[Sub Total]]</f>
        <v/>
      </c>
      <c r="M25" s="86" t="str">
        <f>IF(pajak[[#This Row],[//]]="","",INDEX(Table1[pembuat nota :],pajak[//]-offset))</f>
        <v/>
      </c>
      <c r="N25" s="86" t="str">
        <f>IF(pajak[[#This Row],[//]]="","",IF(INDEX(Table1[edited :],pajak[//]-offset)="","",INDEX(Table1[edited :],pajak[//]-offset)))</f>
        <v/>
      </c>
      <c r="P25" s="86" t="str">
        <f>IF(pajak[[#This Row],[Kode Sales :]]="","",MATCH(pajak[[#This Row],[Kode Sales :]],[2]Invoice!$D:$D,0))</f>
        <v/>
      </c>
      <c r="Q25" s="194" t="e">
        <f>IF((INDEX([2]Invoice!$D:$D,Table4[[#This Row],[cek_ppn]]-4)&amp;" "&amp;INDEX([2]Invoice!$E:$E,Table4[[#This Row],[cek_ppn]]-4))=pajak[[#This Row],[No. Invoice :]],1)</f>
        <v>#VALUE!</v>
      </c>
      <c r="R25" s="194" t="e">
        <f>IF((INDEX([2]Invoice!$D:$D,Table4[[#This Row],[cek_ppn]]-2))=pajak[[#This Row],[Tgl Invoice :]],1)</f>
        <v>#VALUE!</v>
      </c>
      <c r="S25" s="194" t="e">
        <f>IF((INDEX([2]Invoice!$D:$D,Table4[[#This Row],[cek_ppn]]))=pajak[[#This Row],[Kode Sales :]],1)</f>
        <v>#VALUE!</v>
      </c>
      <c r="T25" s="194" t="e">
        <f>IF((INDEX([2]Invoice!$K:$K,Table4[[#This Row],[cek_ppn]]+28))=pajak[[#This Row],[Total Invoice]],1)</f>
        <v>#VALUE!</v>
      </c>
      <c r="U25" s="194" t="e">
        <f>IF((INDEX([2]Invoice!$J:$J,Table4[[#This Row],[cek_ppn]]+30))=pajak[[#This Row],[pembuat nota]],1)</f>
        <v>#VALUE!</v>
      </c>
    </row>
    <row r="26" spans="1:21" x14ac:dyDescent="0.25">
      <c r="C26" s="86" t="str">
        <f t="shared" si="0"/>
        <v/>
      </c>
      <c r="D26" s="86" t="str">
        <f>IF(pajak[[#This Row],[//]]="","",INDEX(Table1[No. Invoice :],pajak[//]-offset))</f>
        <v/>
      </c>
      <c r="E26" s="90" t="str">
        <f>IF(pajak[[#This Row],[//]]="","",INDEX(Table1[Tgl Invoice :],pajak[//]-offset))</f>
        <v/>
      </c>
      <c r="F26" s="86" t="str">
        <f>IF(pajak[[#This Row],[//]]="","",INDEX(Table1[Kode Sales :],pajak[//]-offset))</f>
        <v/>
      </c>
      <c r="G26" s="86" t="str">
        <f>IF(pajak[[#This Row],[//]]="","",INDEX(Table1[Toko],pajak[//]-offset))</f>
        <v/>
      </c>
      <c r="H26" s="89" t="str">
        <f>IF(pajak[[#This Row],[//]]="","",SUMIF(Table1[h_id],pajak[[#This Row],[//]],Table1[h_hargasebelumdiskon]))</f>
        <v/>
      </c>
      <c r="I26" s="89" t="str">
        <f>IF(pajak[[#This Row],[//]]="","",SUMIF(Table1[h_id],pajak[[#This Row],[//]],Table1[h_diskon]))</f>
        <v/>
      </c>
      <c r="J26" s="89" t="str">
        <f>IF(pajak[[#This Row],[//]]="","",SUMIF(Table1[h_id],pajak[[#This Row],[//]],Table1[h_hargasetelahdiskon]))</f>
        <v/>
      </c>
      <c r="K26" s="89" t="str">
        <f>IF(pajak[//]="","",pajak[[#This Row],[Sub Total]]/1.11*11%)</f>
        <v/>
      </c>
      <c r="L26" s="89" t="str">
        <f>pajak[[#This Row],[Sub Total]]</f>
        <v/>
      </c>
      <c r="M26" s="86" t="str">
        <f>IF(pajak[[#This Row],[//]]="","",INDEX(Table1[pembuat nota :],pajak[//]-offset))</f>
        <v/>
      </c>
      <c r="N26" s="86" t="str">
        <f>IF(pajak[[#This Row],[//]]="","",IF(INDEX(Table1[edited :],pajak[//]-offset)="","",INDEX(Table1[edited :],pajak[//]-offset)))</f>
        <v/>
      </c>
      <c r="P26" s="86" t="str">
        <f>IF(pajak[[#This Row],[Kode Sales :]]="","",MATCH(pajak[[#This Row],[Kode Sales :]],[2]Invoice!$D:$D,0))</f>
        <v/>
      </c>
      <c r="Q26" s="194" t="e">
        <f>IF((INDEX([2]Invoice!$D:$D,Table4[[#This Row],[cek_ppn]]-4)&amp;" "&amp;INDEX([2]Invoice!$E:$E,Table4[[#This Row],[cek_ppn]]-4))=pajak[[#This Row],[No. Invoice :]],1)</f>
        <v>#VALUE!</v>
      </c>
      <c r="R26" s="194" t="e">
        <f>IF((INDEX([2]Invoice!$D:$D,Table4[[#This Row],[cek_ppn]]-2))=pajak[[#This Row],[Tgl Invoice :]],1)</f>
        <v>#VALUE!</v>
      </c>
      <c r="S26" s="194" t="e">
        <f>IF((INDEX([2]Invoice!$D:$D,Table4[[#This Row],[cek_ppn]]))=pajak[[#This Row],[Kode Sales :]],1)</f>
        <v>#VALUE!</v>
      </c>
      <c r="T26" s="194" t="e">
        <f>IF((INDEX([2]Invoice!$K:$K,Table4[[#This Row],[cek_ppn]]+28))=pajak[[#This Row],[Total Invoice]],1)</f>
        <v>#VALUE!</v>
      </c>
      <c r="U26" s="194" t="e">
        <f>IF((INDEX([2]Invoice!$J:$J,Table4[[#This Row],[cek_ppn]]+30))=pajak[[#This Row],[pembuat nota]],1)</f>
        <v>#VALUE!</v>
      </c>
    </row>
    <row r="27" spans="1:21" x14ac:dyDescent="0.25">
      <c r="C27" s="86" t="str">
        <f t="shared" si="0"/>
        <v/>
      </c>
      <c r="D27" s="86" t="str">
        <f>IF(pajak[[#This Row],[//]]="","",INDEX(Table1[No. Invoice :],pajak[//]-offset))</f>
        <v/>
      </c>
      <c r="E27" s="90" t="str">
        <f>IF(pajak[[#This Row],[//]]="","",INDEX(Table1[Tgl Invoice :],pajak[//]-offset))</f>
        <v/>
      </c>
      <c r="F27" s="86" t="str">
        <f>IF(pajak[[#This Row],[//]]="","",INDEX(Table1[Kode Sales :],pajak[//]-offset))</f>
        <v/>
      </c>
      <c r="G27" s="86" t="str">
        <f>IF(pajak[[#This Row],[//]]="","",INDEX(Table1[Toko],pajak[//]-offset))</f>
        <v/>
      </c>
      <c r="H27" s="89" t="str">
        <f>IF(pajak[[#This Row],[//]]="","",SUMIF(Table1[h_id],pajak[[#This Row],[//]],Table1[h_hargasebelumdiskon]))</f>
        <v/>
      </c>
      <c r="I27" s="89" t="str">
        <f>IF(pajak[[#This Row],[//]]="","",SUMIF(Table1[h_id],pajak[[#This Row],[//]],Table1[h_diskon]))</f>
        <v/>
      </c>
      <c r="J27" s="89" t="str">
        <f>IF(pajak[[#This Row],[//]]="","",SUMIF(Table1[h_id],pajak[[#This Row],[//]],Table1[h_hargasetelahdiskon]))</f>
        <v/>
      </c>
      <c r="K27" s="89" t="str">
        <f>IF(pajak[//]="","",pajak[[#This Row],[Sub Total]]/1.11*11%)</f>
        <v/>
      </c>
      <c r="L27" s="89" t="str">
        <f>pajak[[#This Row],[Sub Total]]</f>
        <v/>
      </c>
      <c r="M27" s="86" t="str">
        <f>IF(pajak[[#This Row],[//]]="","",INDEX(Table1[pembuat nota :],pajak[//]-offset))</f>
        <v/>
      </c>
      <c r="N27" s="86" t="str">
        <f>IF(pajak[[#This Row],[//]]="","",IF(INDEX(Table1[edited :],pajak[//]-offset)="","",INDEX(Table1[edited :],pajak[//]-offset)))</f>
        <v/>
      </c>
      <c r="P27" s="86" t="str">
        <f>IF(pajak[[#This Row],[Kode Sales :]]="","",MATCH(pajak[[#This Row],[Kode Sales :]],[2]Invoice!$D:$D,0))</f>
        <v/>
      </c>
      <c r="Q27" s="194" t="e">
        <f>IF((INDEX([2]Invoice!$D:$D,Table4[[#This Row],[cek_ppn]]-4)&amp;" "&amp;INDEX([2]Invoice!$E:$E,Table4[[#This Row],[cek_ppn]]-4))=pajak[[#This Row],[No. Invoice :]],1)</f>
        <v>#VALUE!</v>
      </c>
      <c r="R27" s="194" t="e">
        <f>IF((INDEX([2]Invoice!$D:$D,Table4[[#This Row],[cek_ppn]]-2))=pajak[[#This Row],[Tgl Invoice :]],1)</f>
        <v>#VALUE!</v>
      </c>
      <c r="S27" s="194" t="e">
        <f>IF((INDEX([2]Invoice!$D:$D,Table4[[#This Row],[cek_ppn]]))=pajak[[#This Row],[Kode Sales :]],1)</f>
        <v>#VALUE!</v>
      </c>
      <c r="T27" s="194" t="e">
        <f>IF((INDEX([2]Invoice!$K:$K,Table4[[#This Row],[cek_ppn]]+28))=pajak[[#This Row],[Total Invoice]],1)</f>
        <v>#VALUE!</v>
      </c>
      <c r="U27" s="194" t="e">
        <f>IF((INDEX([2]Invoice!$J:$J,Table4[[#This Row],[cek_ppn]]+30))=pajak[[#This Row],[pembuat nota]],1)</f>
        <v>#VALUE!</v>
      </c>
    </row>
    <row r="28" spans="1:21" x14ac:dyDescent="0.25">
      <c r="C28" s="86" t="str">
        <f t="shared" si="0"/>
        <v/>
      </c>
      <c r="D28" s="86" t="str">
        <f>IF(pajak[[#This Row],[//]]="","",INDEX(Table1[No. Invoice :],pajak[//]-offset))</f>
        <v/>
      </c>
      <c r="E28" s="90" t="str">
        <f>IF(pajak[[#This Row],[//]]="","",INDEX(Table1[Tgl Invoice :],pajak[//]-offset))</f>
        <v/>
      </c>
      <c r="F28" s="86" t="str">
        <f>IF(pajak[[#This Row],[//]]="","",INDEX(Table1[Kode Sales :],pajak[//]-offset))</f>
        <v/>
      </c>
      <c r="G28" s="86" t="str">
        <f>IF(pajak[[#This Row],[//]]="","",INDEX(Table1[Toko],pajak[//]-offset))</f>
        <v/>
      </c>
      <c r="H28" s="89" t="str">
        <f>IF(pajak[[#This Row],[//]]="","",SUMIF(Table1[h_id],pajak[[#This Row],[//]],Table1[h_hargasebelumdiskon]))</f>
        <v/>
      </c>
      <c r="I28" s="89" t="str">
        <f>IF(pajak[[#This Row],[//]]="","",SUMIF(Table1[h_id],pajak[[#This Row],[//]],Table1[h_diskon]))</f>
        <v/>
      </c>
      <c r="J28" s="89" t="str">
        <f>IF(pajak[[#This Row],[//]]="","",SUMIF(Table1[h_id],pajak[[#This Row],[//]],Table1[h_hargasetelahdiskon]))</f>
        <v/>
      </c>
      <c r="K28" s="89" t="str">
        <f>IF(pajak[//]="","",pajak[[#This Row],[Sub Total]]/1.11*11%)</f>
        <v/>
      </c>
      <c r="L28" s="89" t="str">
        <f>pajak[[#This Row],[Sub Total]]</f>
        <v/>
      </c>
      <c r="M28" s="86" t="str">
        <f>IF(pajak[[#This Row],[//]]="","",INDEX(Table1[pembuat nota :],pajak[//]-offset))</f>
        <v/>
      </c>
      <c r="N28" s="86" t="str">
        <f>IF(pajak[[#This Row],[//]]="","",IF(INDEX(Table1[edited :],pajak[//]-offset)="","",INDEX(Table1[edited :],pajak[//]-offset)))</f>
        <v/>
      </c>
      <c r="O28"/>
      <c r="P28" s="86" t="str">
        <f>IF(pajak[[#This Row],[Kode Sales :]]="","",MATCH(pajak[[#This Row],[Kode Sales :]],[2]Invoice!$D:$D,0))</f>
        <v/>
      </c>
      <c r="Q28" s="194" t="e">
        <f>IF((INDEX([2]Invoice!$D:$D,Table4[[#This Row],[cek_ppn]]-4)&amp;" "&amp;INDEX([2]Invoice!$E:$E,Table4[[#This Row],[cek_ppn]]-4))=pajak[[#This Row],[No. Invoice :]],1)</f>
        <v>#VALUE!</v>
      </c>
      <c r="R28" s="194" t="e">
        <f>IF((INDEX([2]Invoice!$D:$D,Table4[[#This Row],[cek_ppn]]-2))=pajak[[#This Row],[Tgl Invoice :]],1)</f>
        <v>#VALUE!</v>
      </c>
      <c r="S28" s="194" t="e">
        <f>IF((INDEX([2]Invoice!$D:$D,Table4[[#This Row],[cek_ppn]]))=pajak[[#This Row],[Kode Sales :]],1)</f>
        <v>#VALUE!</v>
      </c>
      <c r="T28" s="194" t="e">
        <f>IF((INDEX([2]Invoice!$K:$K,Table4[[#This Row],[cek_ppn]]+28))=pajak[[#This Row],[Total Invoice]],1)</f>
        <v>#VALUE!</v>
      </c>
      <c r="U28" s="194" t="e">
        <f>IF((INDEX([2]Invoice!$J:$J,Table4[[#This Row],[cek_ppn]]+30))=pajak[[#This Row],[pembuat nota]],1)</f>
        <v>#VALUE!</v>
      </c>
    </row>
    <row r="29" spans="1:21" x14ac:dyDescent="0.25">
      <c r="C29" s="86" t="str">
        <f t="shared" si="0"/>
        <v/>
      </c>
      <c r="D29" s="86" t="str">
        <f>IF(pajak[[#This Row],[//]]="","",INDEX(Table1[No. Invoice :],pajak[//]-offset))</f>
        <v/>
      </c>
      <c r="E29" s="90" t="str">
        <f>IF(pajak[[#This Row],[//]]="","",INDEX(Table1[Tgl Invoice :],pajak[//]-offset))</f>
        <v/>
      </c>
      <c r="F29" s="86" t="str">
        <f>IF(pajak[[#This Row],[//]]="","",INDEX(Table1[Kode Sales :],pajak[//]-offset))</f>
        <v/>
      </c>
      <c r="G29" s="86" t="str">
        <f>IF(pajak[[#This Row],[//]]="","",INDEX(Table1[Toko],pajak[//]-offset))</f>
        <v/>
      </c>
      <c r="H29" s="89" t="str">
        <f>IF(pajak[[#This Row],[//]]="","",SUMIF(Table1[h_id],pajak[[#This Row],[//]],Table1[h_hargasebelumdiskon]))</f>
        <v/>
      </c>
      <c r="I29" s="89" t="str">
        <f>IF(pajak[[#This Row],[//]]="","",SUMIF(Table1[h_id],pajak[[#This Row],[//]],Table1[h_diskon]))</f>
        <v/>
      </c>
      <c r="J29" s="89" t="str">
        <f>IF(pajak[[#This Row],[//]]="","",SUMIF(Table1[h_id],pajak[[#This Row],[//]],Table1[h_hargasetelahdiskon]))</f>
        <v/>
      </c>
      <c r="K29" s="89" t="str">
        <f>IF(pajak[//]="","",pajak[[#This Row],[Sub Total]]/1.11*11%)</f>
        <v/>
      </c>
      <c r="L29" s="89" t="str">
        <f>pajak[[#This Row],[Sub Total]]</f>
        <v/>
      </c>
      <c r="M29" s="86" t="str">
        <f>IF(pajak[[#This Row],[//]]="","",INDEX(Table1[pembuat nota :],pajak[//]-offset))</f>
        <v/>
      </c>
      <c r="N29" s="86" t="str">
        <f>IF(pajak[[#This Row],[//]]="","",IF(INDEX(Table1[edited :],pajak[//]-offset)="","",INDEX(Table1[edited :],pajak[//]-offset)))</f>
        <v/>
      </c>
      <c r="P29" s="86" t="str">
        <f>IF(pajak[[#This Row],[Kode Sales :]]="","",MATCH(pajak[[#This Row],[Kode Sales :]],[2]Invoice!$D:$D,0))</f>
        <v/>
      </c>
      <c r="Q29" s="194" t="e">
        <f>IF((INDEX([2]Invoice!$D:$D,Table4[[#This Row],[cek_ppn]]-4)&amp;" "&amp;INDEX([2]Invoice!$E:$E,Table4[[#This Row],[cek_ppn]]-4))=pajak[[#This Row],[No. Invoice :]],1)</f>
        <v>#VALUE!</v>
      </c>
      <c r="R29" s="194" t="e">
        <f>IF((INDEX([2]Invoice!$D:$D,Table4[[#This Row],[cek_ppn]]-2))=pajak[[#This Row],[Tgl Invoice :]],1)</f>
        <v>#VALUE!</v>
      </c>
      <c r="S29" s="194" t="e">
        <f>IF((INDEX([2]Invoice!$D:$D,Table4[[#This Row],[cek_ppn]]))=pajak[[#This Row],[Kode Sales :]],1)</f>
        <v>#VALUE!</v>
      </c>
      <c r="T29" s="194" t="e">
        <f>IF((INDEX([2]Invoice!$K:$K,Table4[[#This Row],[cek_ppn]]+28))=pajak[[#This Row],[Total Invoice]],1)</f>
        <v>#VALUE!</v>
      </c>
      <c r="U29" s="194" t="e">
        <f>IF((INDEX([2]Invoice!$J:$J,Table4[[#This Row],[cek_ppn]]+30))=pajak[[#This Row],[pembuat nota]],1)</f>
        <v>#VALUE!</v>
      </c>
    </row>
    <row r="30" spans="1:21" x14ac:dyDescent="0.25">
      <c r="C30" s="86" t="str">
        <f t="shared" si="0"/>
        <v/>
      </c>
      <c r="D30" s="86" t="str">
        <f>IF(pajak[[#This Row],[//]]="","",INDEX(Table1[No. Invoice :],pajak[//]-offset))</f>
        <v/>
      </c>
      <c r="E30" s="90" t="str">
        <f>IF(pajak[[#This Row],[//]]="","",INDEX(Table1[Tgl Invoice :],pajak[//]-offset))</f>
        <v/>
      </c>
      <c r="F30" s="86" t="str">
        <f>IF(pajak[[#This Row],[//]]="","",INDEX(Table1[Kode Sales :],pajak[//]-offset))</f>
        <v/>
      </c>
      <c r="G30" s="86" t="str">
        <f>IF(pajak[[#This Row],[//]]="","",INDEX(Table1[Toko],pajak[//]-offset))</f>
        <v/>
      </c>
      <c r="H30" s="89" t="str">
        <f>IF(pajak[[#This Row],[//]]="","",SUMIF(Table1[h_id],pajak[[#This Row],[//]],Table1[h_hargasebelumdiskon]))</f>
        <v/>
      </c>
      <c r="I30" s="89" t="str">
        <f>IF(pajak[[#This Row],[//]]="","",SUMIF(Table1[h_id],pajak[[#This Row],[//]],Table1[h_diskon]))</f>
        <v/>
      </c>
      <c r="J30" s="89" t="str">
        <f>IF(pajak[[#This Row],[//]]="","",SUMIF(Table1[h_id],pajak[[#This Row],[//]],Table1[h_hargasetelahdiskon]))</f>
        <v/>
      </c>
      <c r="K30" s="89" t="str">
        <f>IF(pajak[//]="","",pajak[[#This Row],[Sub Total]]/1.11*11%)</f>
        <v/>
      </c>
      <c r="L30" s="89" t="str">
        <f>pajak[[#This Row],[Sub Total]]</f>
        <v/>
      </c>
      <c r="M30" s="86" t="str">
        <f>IF(pajak[[#This Row],[//]]="","",INDEX(Table1[pembuat nota :],pajak[//]-offset))</f>
        <v/>
      </c>
      <c r="N30" s="86" t="str">
        <f>IF(pajak[[#This Row],[//]]="","",IF(INDEX(Table1[edited :],pajak[//]-offset)="","",INDEX(Table1[edited :],pajak[//]-offset)))</f>
        <v/>
      </c>
      <c r="P30" s="86" t="str">
        <f>IF(pajak[[#This Row],[Kode Sales :]]="","",MATCH(pajak[[#This Row],[Kode Sales :]],[2]Invoice!$D:$D,0))</f>
        <v/>
      </c>
      <c r="Q30" s="194" t="e">
        <f>IF((INDEX([2]Invoice!$D:$D,Table4[[#This Row],[cek_ppn]]-4)&amp;" "&amp;INDEX([2]Invoice!$E:$E,Table4[[#This Row],[cek_ppn]]-4))=pajak[[#This Row],[No. Invoice :]],1)</f>
        <v>#VALUE!</v>
      </c>
      <c r="R30" s="194" t="e">
        <f>IF((INDEX([2]Invoice!$D:$D,Table4[[#This Row],[cek_ppn]]-2))=pajak[[#This Row],[Tgl Invoice :]],1)</f>
        <v>#VALUE!</v>
      </c>
      <c r="S30" s="194" t="e">
        <f>IF((INDEX([2]Invoice!$D:$D,Table4[[#This Row],[cek_ppn]]))=pajak[[#This Row],[Kode Sales :]],1)</f>
        <v>#VALUE!</v>
      </c>
      <c r="T30" s="194" t="e">
        <f>IF((INDEX([2]Invoice!$K:$K,Table4[[#This Row],[cek_ppn]]+28))=pajak[[#This Row],[Total Invoice]],1)</f>
        <v>#VALUE!</v>
      </c>
      <c r="U30" s="194" t="e">
        <f>IF((INDEX([2]Invoice!$J:$J,Table4[[#This Row],[cek_ppn]]+30))=pajak[[#This Row],[pembuat nota]],1)</f>
        <v>#VALUE!</v>
      </c>
    </row>
    <row r="31" spans="1:21" x14ac:dyDescent="0.25">
      <c r="C31" s="86" t="str">
        <f t="shared" si="0"/>
        <v/>
      </c>
      <c r="D31" s="86" t="str">
        <f>IF(pajak[[#This Row],[//]]="","",INDEX(Table1[No. Invoice :],pajak[//]-offset))</f>
        <v/>
      </c>
      <c r="E31" s="90" t="str">
        <f>IF(pajak[[#This Row],[//]]="","",INDEX(Table1[Tgl Invoice :],pajak[//]-offset))</f>
        <v/>
      </c>
      <c r="F31" s="86" t="str">
        <f>IF(pajak[[#This Row],[//]]="","",INDEX(Table1[Kode Sales :],pajak[//]-offset))</f>
        <v/>
      </c>
      <c r="G31" s="86" t="str">
        <f>IF(pajak[[#This Row],[//]]="","",INDEX(Table1[Toko],pajak[//]-offset))</f>
        <v/>
      </c>
      <c r="H31" s="89" t="str">
        <f>IF(pajak[[#This Row],[//]]="","",SUMIF(Table1[h_id],pajak[[#This Row],[//]],Table1[h_hargasebelumdiskon]))</f>
        <v/>
      </c>
      <c r="I31" s="89" t="str">
        <f>IF(pajak[[#This Row],[//]]="","",SUMIF(Table1[h_id],pajak[[#This Row],[//]],Table1[h_diskon]))</f>
        <v/>
      </c>
      <c r="J31" s="89" t="str">
        <f>IF(pajak[[#This Row],[//]]="","",SUMIF(Table1[h_id],pajak[[#This Row],[//]],Table1[h_hargasetelahdiskon]))</f>
        <v/>
      </c>
      <c r="K31" s="89" t="str">
        <f>IF(pajak[//]="","",pajak[[#This Row],[Sub Total]]/1.11*11%)</f>
        <v/>
      </c>
      <c r="L31" s="89" t="str">
        <f>pajak[[#This Row],[Sub Total]]</f>
        <v/>
      </c>
      <c r="M31" s="86" t="str">
        <f>IF(pajak[[#This Row],[//]]="","",INDEX(Table1[pembuat nota :],pajak[//]-offset))</f>
        <v/>
      </c>
      <c r="N31" s="86" t="str">
        <f>IF(pajak[[#This Row],[//]]="","",IF(INDEX(Table1[edited :],pajak[//]-offset)="","",INDEX(Table1[edited :],pajak[//]-offset)))</f>
        <v/>
      </c>
      <c r="P31" s="86" t="str">
        <f>IF(pajak[[#This Row],[Kode Sales :]]="","",MATCH(pajak[[#This Row],[Kode Sales :]],[2]Invoice!$D:$D,0))</f>
        <v/>
      </c>
      <c r="Q31" s="194" t="e">
        <f>IF((INDEX([2]Invoice!$D:$D,Table4[[#This Row],[cek_ppn]]-4)&amp;" "&amp;INDEX([2]Invoice!$E:$E,Table4[[#This Row],[cek_ppn]]-4))=pajak[[#This Row],[No. Invoice :]],1)</f>
        <v>#VALUE!</v>
      </c>
      <c r="R31" s="194" t="e">
        <f>IF((INDEX([2]Invoice!$D:$D,Table4[[#This Row],[cek_ppn]]-2))=pajak[[#This Row],[Tgl Invoice :]],1)</f>
        <v>#VALUE!</v>
      </c>
      <c r="S31" s="194" t="e">
        <f>IF((INDEX([2]Invoice!$D:$D,Table4[[#This Row],[cek_ppn]]))=pajak[[#This Row],[Kode Sales :]],1)</f>
        <v>#VALUE!</v>
      </c>
      <c r="T31" s="194" t="e">
        <f>IF((INDEX([2]Invoice!$K:$K,Table4[[#This Row],[cek_ppn]]+28))=pajak[[#This Row],[Total Invoice]],1)</f>
        <v>#VALUE!</v>
      </c>
      <c r="U31" s="194" t="e">
        <f>IF((INDEX([2]Invoice!$J:$J,Table4[[#This Row],[cek_ppn]]+30))=pajak[[#This Row],[pembuat nota]],1)</f>
        <v>#VALUE!</v>
      </c>
    </row>
    <row r="32" spans="1:21" x14ac:dyDescent="0.25">
      <c r="C32" s="86" t="str">
        <f t="shared" si="0"/>
        <v/>
      </c>
      <c r="D32" s="86" t="str">
        <f>IF(pajak[[#This Row],[//]]="","",INDEX(Table1[No. Invoice :],pajak[//]-offset))</f>
        <v/>
      </c>
      <c r="E32" s="90" t="str">
        <f>IF(pajak[[#This Row],[//]]="","",INDEX(Table1[Tgl Invoice :],pajak[//]-offset))</f>
        <v/>
      </c>
      <c r="F32" s="86" t="str">
        <f>IF(pajak[[#This Row],[//]]="","",INDEX(Table1[Kode Sales :],pajak[//]-offset))</f>
        <v/>
      </c>
      <c r="G32" s="86" t="str">
        <f>IF(pajak[[#This Row],[//]]="","",INDEX(Table1[Toko],pajak[//]-offset))</f>
        <v/>
      </c>
      <c r="H32" s="89" t="str">
        <f>IF(pajak[[#This Row],[//]]="","",SUMIF(Table1[h_id],pajak[[#This Row],[//]],Table1[h_hargasebelumdiskon]))</f>
        <v/>
      </c>
      <c r="I32" s="89" t="str">
        <f>IF(pajak[[#This Row],[//]]="","",SUMIF(Table1[h_id],pajak[[#This Row],[//]],Table1[h_diskon]))</f>
        <v/>
      </c>
      <c r="J32" s="89" t="str">
        <f>IF(pajak[[#This Row],[//]]="","",SUMIF(Table1[h_id],pajak[[#This Row],[//]],Table1[h_hargasetelahdiskon]))</f>
        <v/>
      </c>
      <c r="K32" s="89" t="str">
        <f>IF(pajak[//]="","",pajak[[#This Row],[Sub Total]]/1.11*11%)</f>
        <v/>
      </c>
      <c r="L32" s="89" t="str">
        <f>pajak[[#This Row],[Sub Total]]</f>
        <v/>
      </c>
      <c r="M32" s="86" t="str">
        <f>IF(pajak[[#This Row],[//]]="","",INDEX(Table1[pembuat nota :],pajak[//]-offset))</f>
        <v/>
      </c>
      <c r="N32" s="86" t="str">
        <f>IF(pajak[[#This Row],[//]]="","",IF(INDEX(Table1[edited :],pajak[//]-offset)="","",INDEX(Table1[edited :],pajak[//]-offset)))</f>
        <v/>
      </c>
      <c r="P32" s="86" t="str">
        <f>IF(pajak[[#This Row],[Kode Sales :]]="","",MATCH(pajak[[#This Row],[Kode Sales :]],[2]Invoice!$D:$D,0))</f>
        <v/>
      </c>
      <c r="Q32" s="194" t="e">
        <f>IF((INDEX([2]Invoice!$D:$D,Table4[[#This Row],[cek_ppn]]-4)&amp;" "&amp;INDEX([2]Invoice!$E:$E,Table4[[#This Row],[cek_ppn]]-4))=pajak[[#This Row],[No. Invoice :]],1)</f>
        <v>#VALUE!</v>
      </c>
      <c r="R32" s="194" t="e">
        <f>IF((INDEX([2]Invoice!$D:$D,Table4[[#This Row],[cek_ppn]]-2))=pajak[[#This Row],[Tgl Invoice :]],1)</f>
        <v>#VALUE!</v>
      </c>
      <c r="S32" s="194" t="e">
        <f>IF((INDEX([2]Invoice!$D:$D,Table4[[#This Row],[cek_ppn]]))=pajak[[#This Row],[Kode Sales :]],1)</f>
        <v>#VALUE!</v>
      </c>
      <c r="T32" s="194" t="e">
        <f>IF((INDEX([2]Invoice!$K:$K,Table4[[#This Row],[cek_ppn]]+28))=pajak[[#This Row],[Total Invoice]],1)</f>
        <v>#VALUE!</v>
      </c>
      <c r="U32" s="194" t="e">
        <f>IF((INDEX([2]Invoice!$J:$J,Table4[[#This Row],[cek_ppn]]+30))=pajak[[#This Row],[pembuat nota]],1)</f>
        <v>#VALUE!</v>
      </c>
    </row>
    <row r="33" spans="3:21" x14ac:dyDescent="0.25">
      <c r="C33" s="86" t="str">
        <f t="shared" si="0"/>
        <v/>
      </c>
      <c r="D33" s="86" t="str">
        <f>IF(pajak[[#This Row],[//]]="","",INDEX(Table1[No. Invoice :],pajak[//]-offset))</f>
        <v/>
      </c>
      <c r="E33" s="90" t="str">
        <f>IF(pajak[[#This Row],[//]]="","",INDEX(Table1[Tgl Invoice :],pajak[//]-offset))</f>
        <v/>
      </c>
      <c r="F33" s="86" t="str">
        <f>IF(pajak[[#This Row],[//]]="","",INDEX(Table1[Kode Sales :],pajak[//]-offset))</f>
        <v/>
      </c>
      <c r="G33" s="86" t="str">
        <f>IF(pajak[[#This Row],[//]]="","",INDEX(Table1[Toko],pajak[//]-offset))</f>
        <v/>
      </c>
      <c r="H33" s="89" t="str">
        <f>IF(pajak[[#This Row],[//]]="","",SUMIF(Table1[h_id],pajak[[#This Row],[//]],Table1[h_hargasebelumdiskon]))</f>
        <v/>
      </c>
      <c r="I33" s="89" t="str">
        <f>IF(pajak[[#This Row],[//]]="","",SUMIF(Table1[h_id],pajak[[#This Row],[//]],Table1[h_diskon]))</f>
        <v/>
      </c>
      <c r="J33" s="89" t="str">
        <f>IF(pajak[[#This Row],[//]]="","",SUMIF(Table1[h_id],pajak[[#This Row],[//]],Table1[h_hargasetelahdiskon]))</f>
        <v/>
      </c>
      <c r="K33" s="89" t="str">
        <f>IF(pajak[//]="","",pajak[[#This Row],[Sub Total]]/1.11*11%)</f>
        <v/>
      </c>
      <c r="L33" s="89" t="str">
        <f>pajak[[#This Row],[Sub Total]]</f>
        <v/>
      </c>
      <c r="M33" s="86" t="str">
        <f>IF(pajak[[#This Row],[//]]="","",INDEX(Table1[pembuat nota :],pajak[//]-offset))</f>
        <v/>
      </c>
      <c r="N33" s="86" t="str">
        <f>IF(pajak[[#This Row],[//]]="","",IF(INDEX(Table1[edited :],pajak[//]-offset)="","",INDEX(Table1[edited :],pajak[//]-offset)))</f>
        <v/>
      </c>
      <c r="P33" s="86" t="str">
        <f>IF(pajak[[#This Row],[Kode Sales :]]="","",MATCH(pajak[[#This Row],[Kode Sales :]],[2]Invoice!$D:$D,0))</f>
        <v/>
      </c>
      <c r="Q33" s="194" t="e">
        <f>IF((INDEX([2]Invoice!$D:$D,Table4[[#This Row],[cek_ppn]]-4)&amp;" "&amp;INDEX([2]Invoice!$E:$E,Table4[[#This Row],[cek_ppn]]-4))=pajak[[#This Row],[No. Invoice :]],1)</f>
        <v>#VALUE!</v>
      </c>
      <c r="R33" s="194" t="e">
        <f>IF((INDEX([2]Invoice!$D:$D,Table4[[#This Row],[cek_ppn]]-2))=pajak[[#This Row],[Tgl Invoice :]],1)</f>
        <v>#VALUE!</v>
      </c>
      <c r="S33" s="194" t="e">
        <f>IF((INDEX([2]Invoice!$D:$D,Table4[[#This Row],[cek_ppn]]))=pajak[[#This Row],[Kode Sales :]],1)</f>
        <v>#VALUE!</v>
      </c>
      <c r="T33" s="194" t="e">
        <f>IF((INDEX([2]Invoice!$K:$K,Table4[[#This Row],[cek_ppn]]+28))=pajak[[#This Row],[Total Invoice]],1)</f>
        <v>#VALUE!</v>
      </c>
      <c r="U33" s="194" t="e">
        <f>IF((INDEX([2]Invoice!$J:$J,Table4[[#This Row],[cek_ppn]]+30))=pajak[[#This Row],[pembuat nota]],1)</f>
        <v>#VALUE!</v>
      </c>
    </row>
    <row r="34" spans="3:21" x14ac:dyDescent="0.25">
      <c r="C34" s="86" t="str">
        <f t="shared" si="0"/>
        <v/>
      </c>
      <c r="D34" s="86" t="str">
        <f>IF(pajak[[#This Row],[//]]="","",INDEX(Table1[No. Invoice :],pajak[//]-offset))</f>
        <v/>
      </c>
      <c r="E34" s="90" t="str">
        <f>IF(pajak[[#This Row],[//]]="","",INDEX(Table1[Tgl Invoice :],pajak[//]-offset))</f>
        <v/>
      </c>
      <c r="F34" s="86" t="str">
        <f>IF(pajak[[#This Row],[//]]="","",INDEX(Table1[Kode Sales :],pajak[//]-offset))</f>
        <v/>
      </c>
      <c r="G34" s="86" t="str">
        <f>IF(pajak[[#This Row],[//]]="","",INDEX(Table1[Toko],pajak[//]-offset))</f>
        <v/>
      </c>
      <c r="H34" s="89" t="str">
        <f>IF(pajak[[#This Row],[//]]="","",SUMIF(Table1[h_id],pajak[[#This Row],[//]],Table1[h_hargasebelumdiskon]))</f>
        <v/>
      </c>
      <c r="I34" s="89" t="str">
        <f>IF(pajak[[#This Row],[//]]="","",SUMIF(Table1[h_id],pajak[[#This Row],[//]],Table1[h_diskon]))</f>
        <v/>
      </c>
      <c r="J34" s="89" t="str">
        <f>IF(pajak[[#This Row],[//]]="","",SUMIF(Table1[h_id],pajak[[#This Row],[//]],Table1[h_hargasetelahdiskon]))</f>
        <v/>
      </c>
      <c r="K34" s="89" t="str">
        <f>IF(pajak[//]="","",pajak[[#This Row],[Sub Total]]/1.11*11%)</f>
        <v/>
      </c>
      <c r="L34" s="89" t="str">
        <f>pajak[[#This Row],[Sub Total]]</f>
        <v/>
      </c>
      <c r="M34" s="86" t="str">
        <f>IF(pajak[[#This Row],[//]]="","",INDEX(Table1[pembuat nota :],pajak[//]-offset))</f>
        <v/>
      </c>
      <c r="N34" s="86" t="str">
        <f>IF(pajak[[#This Row],[//]]="","",IF(INDEX(Table1[edited :],pajak[//]-offset)="","",INDEX(Table1[edited :],pajak[//]-offset)))</f>
        <v/>
      </c>
      <c r="P34" s="86" t="str">
        <f>IF(pajak[[#This Row],[Kode Sales :]]="","",MATCH(pajak[[#This Row],[Kode Sales :]],[2]Invoice!$D:$D,0))</f>
        <v/>
      </c>
      <c r="Q34" s="194" t="e">
        <f>IF((INDEX([2]Invoice!$D:$D,Table4[[#This Row],[cek_ppn]]-4)&amp;" "&amp;INDEX([2]Invoice!$E:$E,Table4[[#This Row],[cek_ppn]]-4))=pajak[[#This Row],[No. Invoice :]],1)</f>
        <v>#VALUE!</v>
      </c>
      <c r="R34" s="194" t="e">
        <f>IF((INDEX([2]Invoice!$D:$D,Table4[[#This Row],[cek_ppn]]-2))=pajak[[#This Row],[Tgl Invoice :]],1)</f>
        <v>#VALUE!</v>
      </c>
      <c r="S34" s="194" t="e">
        <f>IF((INDEX([2]Invoice!$D:$D,Table4[[#This Row],[cek_ppn]]))=pajak[[#This Row],[Kode Sales :]],1)</f>
        <v>#VALUE!</v>
      </c>
      <c r="T34" s="194" t="e">
        <f>IF((INDEX([2]Invoice!$K:$K,Table4[[#This Row],[cek_ppn]]+28))=pajak[[#This Row],[Total Invoice]],1)</f>
        <v>#VALUE!</v>
      </c>
      <c r="U34" s="194" t="e">
        <f>IF((INDEX([2]Invoice!$J:$J,Table4[[#This Row],[cek_ppn]]+30))=pajak[[#This Row],[pembuat nota]],1)</f>
        <v>#VALUE!</v>
      </c>
    </row>
    <row r="35" spans="3:21" x14ac:dyDescent="0.25">
      <c r="C35" s="86" t="str">
        <f t="shared" ref="C35:C55" si="1">IF(ROW()-2&lt;=jNota,A35,"")</f>
        <v/>
      </c>
      <c r="D35" s="86" t="str">
        <f>IF(pajak[[#This Row],[//]]="","",INDEX(Table1[No. Invoice :],pajak[//]-offset))</f>
        <v/>
      </c>
      <c r="E35" s="90" t="str">
        <f>IF(pajak[[#This Row],[//]]="","",INDEX(Table1[Tgl Invoice :],pajak[//]-offset))</f>
        <v/>
      </c>
      <c r="F35" s="86" t="str">
        <f>IF(pajak[[#This Row],[//]]="","",INDEX(Table1[Kode Sales :],pajak[//]-offset))</f>
        <v/>
      </c>
      <c r="G35" s="86" t="str">
        <f>IF(pajak[[#This Row],[//]]="","",INDEX(Table1[Toko],pajak[//]-offset))</f>
        <v/>
      </c>
      <c r="H35" s="89" t="str">
        <f>IF(pajak[[#This Row],[//]]="","",SUMIF(Table1[h_id],pajak[[#This Row],[//]],Table1[h_hargasebelumdiskon]))</f>
        <v/>
      </c>
      <c r="I35" s="89" t="str">
        <f>IF(pajak[[#This Row],[//]]="","",SUMIF(Table1[h_id],pajak[[#This Row],[//]],Table1[h_diskon]))</f>
        <v/>
      </c>
      <c r="J35" s="89" t="str">
        <f>IF(pajak[[#This Row],[//]]="","",SUMIF(Table1[h_id],pajak[[#This Row],[//]],Table1[h_hargasetelahdiskon]))</f>
        <v/>
      </c>
      <c r="K35" s="89" t="str">
        <f>IF(pajak[//]="","",pajak[[#This Row],[Sub Total]]/1.11*11%)</f>
        <v/>
      </c>
      <c r="L35" s="89" t="str">
        <f>pajak[[#This Row],[Sub Total]]</f>
        <v/>
      </c>
      <c r="M35" s="86" t="str">
        <f>IF(pajak[[#This Row],[//]]="","",INDEX(Table1[pembuat nota :],pajak[//]-offset))</f>
        <v/>
      </c>
      <c r="N35" s="86" t="str">
        <f>IF(pajak[[#This Row],[//]]="","",IF(INDEX(Table1[edited :],pajak[//]-offset)="","",INDEX(Table1[edited :],pajak[//]-offset)))</f>
        <v/>
      </c>
      <c r="P35" s="86" t="str">
        <f>IF(pajak[[#This Row],[Kode Sales :]]="","",MATCH(pajak[[#This Row],[Kode Sales :]],[2]Invoice!$D:$D,0))</f>
        <v/>
      </c>
      <c r="Q35" s="194" t="e">
        <f>IF((INDEX([2]Invoice!$D:$D,Table4[[#This Row],[cek_ppn]]-4)&amp;" "&amp;INDEX([2]Invoice!$E:$E,Table4[[#This Row],[cek_ppn]]-4))=pajak[[#This Row],[No. Invoice :]],1)</f>
        <v>#VALUE!</v>
      </c>
      <c r="R35" s="194" t="e">
        <f>IF((INDEX([2]Invoice!$D:$D,Table4[[#This Row],[cek_ppn]]-2))=pajak[[#This Row],[Tgl Invoice :]],1)</f>
        <v>#VALUE!</v>
      </c>
      <c r="S35" s="194" t="e">
        <f>IF((INDEX([2]Invoice!$D:$D,Table4[[#This Row],[cek_ppn]]))=pajak[[#This Row],[Kode Sales :]],1)</f>
        <v>#VALUE!</v>
      </c>
      <c r="T35" s="194" t="e">
        <f>IF((INDEX([2]Invoice!$K:$K,Table4[[#This Row],[cek_ppn]]+28))=pajak[[#This Row],[Total Invoice]],1)</f>
        <v>#VALUE!</v>
      </c>
      <c r="U35" s="194" t="e">
        <f>IF((INDEX([2]Invoice!$J:$J,Table4[[#This Row],[cek_ppn]]+30))=pajak[[#This Row],[pembuat nota]],1)</f>
        <v>#VALUE!</v>
      </c>
    </row>
    <row r="36" spans="3:21" x14ac:dyDescent="0.25">
      <c r="C36" s="86" t="str">
        <f t="shared" si="1"/>
        <v/>
      </c>
      <c r="D36" s="86" t="str">
        <f>IF(pajak[[#This Row],[//]]="","",INDEX(Table1[No. Invoice :],pajak[//]-offset))</f>
        <v/>
      </c>
      <c r="E36" s="90" t="str">
        <f>IF(pajak[[#This Row],[//]]="","",INDEX(Table1[Tgl Invoice :],pajak[//]-offset))</f>
        <v/>
      </c>
      <c r="F36" s="86" t="str">
        <f>IF(pajak[[#This Row],[//]]="","",INDEX(Table1[Kode Sales :],pajak[//]-offset))</f>
        <v/>
      </c>
      <c r="G36" s="86" t="str">
        <f>IF(pajak[[#This Row],[//]]="","",INDEX(Table1[Toko],pajak[//]-offset))</f>
        <v/>
      </c>
      <c r="H36" s="89" t="str">
        <f>IF(pajak[[#This Row],[//]]="","",SUMIF(Table1[h_id],pajak[[#This Row],[//]],Table1[h_hargasebelumdiskon]))</f>
        <v/>
      </c>
      <c r="I36" s="89" t="str">
        <f>IF(pajak[[#This Row],[//]]="","",SUMIF(Table1[h_id],pajak[[#This Row],[//]],Table1[h_diskon]))</f>
        <v/>
      </c>
      <c r="J36" s="89" t="str">
        <f>IF(pajak[[#This Row],[//]]="","",SUMIF(Table1[h_id],pajak[[#This Row],[//]],Table1[h_hargasetelahdiskon]))</f>
        <v/>
      </c>
      <c r="K36" s="89" t="str">
        <f>IF(pajak[//]="","",pajak[[#This Row],[Sub Total]]/1.11*11%)</f>
        <v/>
      </c>
      <c r="L36" s="89" t="str">
        <f>pajak[[#This Row],[Sub Total]]</f>
        <v/>
      </c>
      <c r="M36" s="86" t="str">
        <f>IF(pajak[[#This Row],[//]]="","",INDEX(Table1[pembuat nota :],pajak[//]-offset))</f>
        <v/>
      </c>
      <c r="N36" s="86" t="str">
        <f>IF(pajak[[#This Row],[//]]="","",IF(INDEX(Table1[edited :],pajak[//]-offset)="","",INDEX(Table1[edited :],pajak[//]-offset)))</f>
        <v/>
      </c>
      <c r="P36" s="86" t="str">
        <f>IF(pajak[[#This Row],[Kode Sales :]]="","",MATCH(pajak[[#This Row],[Kode Sales :]],[2]Invoice!$D:$D,0))</f>
        <v/>
      </c>
      <c r="Q36" s="194" t="e">
        <f>IF((INDEX([2]Invoice!$D:$D,Table4[[#This Row],[cek_ppn]]-4)&amp;" "&amp;INDEX([2]Invoice!$E:$E,Table4[[#This Row],[cek_ppn]]-4))=pajak[[#This Row],[No. Invoice :]],1)</f>
        <v>#VALUE!</v>
      </c>
      <c r="R36" s="194" t="e">
        <f>IF((INDEX([2]Invoice!$D:$D,Table4[[#This Row],[cek_ppn]]-2))=pajak[[#This Row],[Tgl Invoice :]],1)</f>
        <v>#VALUE!</v>
      </c>
      <c r="S36" s="194" t="e">
        <f>IF((INDEX([2]Invoice!$D:$D,Table4[[#This Row],[cek_ppn]]))=pajak[[#This Row],[Kode Sales :]],1)</f>
        <v>#VALUE!</v>
      </c>
      <c r="T36" s="194" t="e">
        <f>IF((INDEX([2]Invoice!$K:$K,Table4[[#This Row],[cek_ppn]]+28))=pajak[[#This Row],[Total Invoice]],1)</f>
        <v>#VALUE!</v>
      </c>
      <c r="U36" s="194" t="e">
        <f>IF((INDEX([2]Invoice!$J:$J,Table4[[#This Row],[cek_ppn]]+30))=pajak[[#This Row],[pembuat nota]],1)</f>
        <v>#VALUE!</v>
      </c>
    </row>
    <row r="37" spans="3:21" x14ac:dyDescent="0.25">
      <c r="C37" s="86" t="str">
        <f t="shared" si="1"/>
        <v/>
      </c>
      <c r="D37" s="86" t="str">
        <f>IF(pajak[[#This Row],[//]]="","",INDEX(Table1[No. Invoice :],pajak[//]-offset))</f>
        <v/>
      </c>
      <c r="E37" s="90" t="str">
        <f>IF(pajak[[#This Row],[//]]="","",INDEX(Table1[Tgl Invoice :],pajak[//]-offset))</f>
        <v/>
      </c>
      <c r="F37" s="86" t="str">
        <f>IF(pajak[[#This Row],[//]]="","",INDEX(Table1[Kode Sales :],pajak[//]-offset))</f>
        <v/>
      </c>
      <c r="G37" s="86" t="str">
        <f>IF(pajak[[#This Row],[//]]="","",INDEX(Table1[Toko],pajak[//]-offset))</f>
        <v/>
      </c>
      <c r="H37" s="89" t="str">
        <f>IF(pajak[[#This Row],[//]]="","",SUMIF(Table1[h_id],pajak[[#This Row],[//]],Table1[h_hargasebelumdiskon]))</f>
        <v/>
      </c>
      <c r="I37" s="89" t="str">
        <f>IF(pajak[[#This Row],[//]]="","",SUMIF(Table1[h_id],pajak[[#This Row],[//]],Table1[h_diskon]))</f>
        <v/>
      </c>
      <c r="J37" s="89" t="str">
        <f>IF(pajak[[#This Row],[//]]="","",SUMIF(Table1[h_id],pajak[[#This Row],[//]],Table1[h_hargasetelahdiskon]))</f>
        <v/>
      </c>
      <c r="K37" s="89" t="str">
        <f>IF(pajak[//]="","",pajak[[#This Row],[Sub Total]]/1.11*11%)</f>
        <v/>
      </c>
      <c r="L37" s="89" t="str">
        <f>pajak[[#This Row],[Sub Total]]</f>
        <v/>
      </c>
      <c r="M37" s="86" t="str">
        <f>IF(pajak[[#This Row],[//]]="","",INDEX(Table1[pembuat nota :],pajak[//]-offset))</f>
        <v/>
      </c>
      <c r="N37" s="86" t="str">
        <f>IF(pajak[[#This Row],[//]]="","",IF(INDEX(Table1[edited :],pajak[//]-offset)="","",INDEX(Table1[edited :],pajak[//]-offset)))</f>
        <v/>
      </c>
      <c r="P37" s="86" t="str">
        <f>IF(pajak[[#This Row],[Kode Sales :]]="","",MATCH(pajak[[#This Row],[Kode Sales :]],[2]Invoice!$D:$D,0))</f>
        <v/>
      </c>
      <c r="Q37" s="194" t="e">
        <f>IF((INDEX([2]Invoice!$D:$D,Table4[[#This Row],[cek_ppn]]-4)&amp;" "&amp;INDEX([2]Invoice!$E:$E,Table4[[#This Row],[cek_ppn]]-4))=pajak[[#This Row],[No. Invoice :]],1)</f>
        <v>#VALUE!</v>
      </c>
      <c r="R37" s="194" t="e">
        <f>IF((INDEX([2]Invoice!$D:$D,Table4[[#This Row],[cek_ppn]]-2))=pajak[[#This Row],[Tgl Invoice :]],1)</f>
        <v>#VALUE!</v>
      </c>
      <c r="S37" s="194" t="e">
        <f>IF((INDEX([2]Invoice!$D:$D,Table4[[#This Row],[cek_ppn]]))=pajak[[#This Row],[Kode Sales :]],1)</f>
        <v>#VALUE!</v>
      </c>
      <c r="T37" s="194" t="e">
        <f>IF((INDEX([2]Invoice!$K:$K,Table4[[#This Row],[cek_ppn]]+28))=pajak[[#This Row],[Total Invoice]],1)</f>
        <v>#VALUE!</v>
      </c>
      <c r="U37" s="194" t="e">
        <f>IF((INDEX([2]Invoice!$J:$J,Table4[[#This Row],[cek_ppn]]+30))=pajak[[#This Row],[pembuat nota]],1)</f>
        <v>#VALUE!</v>
      </c>
    </row>
    <row r="38" spans="3:21" x14ac:dyDescent="0.25">
      <c r="C38" s="86" t="str">
        <f t="shared" si="1"/>
        <v/>
      </c>
      <c r="D38" s="86" t="str">
        <f>IF(pajak[[#This Row],[//]]="","",INDEX(Table1[No. Invoice :],pajak[//]-offset))</f>
        <v/>
      </c>
      <c r="E38" s="90" t="str">
        <f>IF(pajak[[#This Row],[//]]="","",INDEX(Table1[Tgl Invoice :],pajak[//]-offset))</f>
        <v/>
      </c>
      <c r="F38" s="86" t="str">
        <f>IF(pajak[[#This Row],[//]]="","",INDEX(Table1[Kode Sales :],pajak[//]-offset))</f>
        <v/>
      </c>
      <c r="G38" s="86" t="str">
        <f>IF(pajak[[#This Row],[//]]="","",INDEX(Table1[Toko],pajak[//]-offset))</f>
        <v/>
      </c>
      <c r="H38" s="89" t="str">
        <f>IF(pajak[[#This Row],[//]]="","",SUMIF(Table1[h_id],pajak[[#This Row],[//]],Table1[h_hargasebelumdiskon]))</f>
        <v/>
      </c>
      <c r="I38" s="89" t="str">
        <f>IF(pajak[[#This Row],[//]]="","",SUMIF(Table1[h_id],pajak[[#This Row],[//]],Table1[h_diskon]))</f>
        <v/>
      </c>
      <c r="J38" s="89" t="str">
        <f>IF(pajak[[#This Row],[//]]="","",SUMIF(Table1[h_id],pajak[[#This Row],[//]],Table1[h_hargasetelahdiskon]))</f>
        <v/>
      </c>
      <c r="K38" s="89" t="str">
        <f>IF(pajak[//]="","",pajak[[#This Row],[Sub Total]]/1.11*11%)</f>
        <v/>
      </c>
      <c r="L38" s="89" t="str">
        <f>pajak[[#This Row],[Sub Total]]</f>
        <v/>
      </c>
      <c r="M38" s="86" t="str">
        <f>IF(pajak[[#This Row],[//]]="","",INDEX(Table1[pembuat nota :],pajak[//]-offset))</f>
        <v/>
      </c>
      <c r="N38" s="86" t="str">
        <f>IF(pajak[[#This Row],[//]]="","",IF(INDEX(Table1[edited :],pajak[//]-offset)="","",INDEX(Table1[edited :],pajak[//]-offset)))</f>
        <v/>
      </c>
      <c r="P38" s="86" t="str">
        <f>IF(pajak[[#This Row],[Kode Sales :]]="","",MATCH(pajak[[#This Row],[Kode Sales :]],[2]Invoice!$D:$D,0))</f>
        <v/>
      </c>
      <c r="Q38" s="194" t="e">
        <f>IF((INDEX([2]Invoice!$D:$D,Table4[[#This Row],[cek_ppn]]-4)&amp;" "&amp;INDEX([2]Invoice!$E:$E,Table4[[#This Row],[cek_ppn]]-4))=pajak[[#This Row],[No. Invoice :]],1)</f>
        <v>#VALUE!</v>
      </c>
      <c r="R38" s="194" t="e">
        <f>IF((INDEX([2]Invoice!$D:$D,Table4[[#This Row],[cek_ppn]]-2))=pajak[[#This Row],[Tgl Invoice :]],1)</f>
        <v>#VALUE!</v>
      </c>
      <c r="S38" s="194" t="e">
        <f>IF((INDEX([2]Invoice!$D:$D,Table4[[#This Row],[cek_ppn]]))=pajak[[#This Row],[Kode Sales :]],1)</f>
        <v>#VALUE!</v>
      </c>
      <c r="T38" s="194" t="e">
        <f>IF((INDEX([2]Invoice!$K:$K,Table4[[#This Row],[cek_ppn]]+28))=pajak[[#This Row],[Total Invoice]],1)</f>
        <v>#VALUE!</v>
      </c>
      <c r="U38" s="194" t="e">
        <f>IF((INDEX([2]Invoice!$J:$J,Table4[[#This Row],[cek_ppn]]+30))=pajak[[#This Row],[pembuat nota]],1)</f>
        <v>#VALUE!</v>
      </c>
    </row>
    <row r="39" spans="3:21" x14ac:dyDescent="0.25">
      <c r="C39" s="86" t="str">
        <f t="shared" si="1"/>
        <v/>
      </c>
      <c r="D39" s="86" t="str">
        <f>IF(pajak[[#This Row],[//]]="","",INDEX(Table1[No. Invoice :],pajak[//]-offset))</f>
        <v/>
      </c>
      <c r="E39" s="90" t="str">
        <f>IF(pajak[[#This Row],[//]]="","",INDEX(Table1[Tgl Invoice :],pajak[//]-offset))</f>
        <v/>
      </c>
      <c r="F39" s="86" t="str">
        <f>IF(pajak[[#This Row],[//]]="","",INDEX(Table1[Kode Sales :],pajak[//]-offset))</f>
        <v/>
      </c>
      <c r="G39" s="86" t="str">
        <f>IF(pajak[[#This Row],[//]]="","",INDEX(Table1[Toko],pajak[//]-offset))</f>
        <v/>
      </c>
      <c r="H39" s="89" t="str">
        <f>IF(pajak[[#This Row],[//]]="","",SUMIF(Table1[h_id],pajak[[#This Row],[//]],Table1[h_hargasebelumdiskon]))</f>
        <v/>
      </c>
      <c r="I39" s="89" t="str">
        <f>IF(pajak[[#This Row],[//]]="","",SUMIF(Table1[h_id],pajak[[#This Row],[//]],Table1[h_diskon]))</f>
        <v/>
      </c>
      <c r="J39" s="89" t="str">
        <f>IF(pajak[[#This Row],[//]]="","",SUMIF(Table1[h_id],pajak[[#This Row],[//]],Table1[h_hargasetelahdiskon]))</f>
        <v/>
      </c>
      <c r="K39" s="89" t="str">
        <f>IF(pajak[//]="","",pajak[[#This Row],[Sub Total]]/1.11*11%)</f>
        <v/>
      </c>
      <c r="L39" s="89" t="str">
        <f>pajak[[#This Row],[Sub Total]]</f>
        <v/>
      </c>
      <c r="M39" s="86" t="str">
        <f>IF(pajak[[#This Row],[//]]="","",INDEX(Table1[pembuat nota :],pajak[//]-offset))</f>
        <v/>
      </c>
      <c r="N39" s="86" t="str">
        <f>IF(pajak[[#This Row],[//]]="","",IF(INDEX(Table1[edited :],pajak[//]-offset)="","",INDEX(Table1[edited :],pajak[//]-offset)))</f>
        <v/>
      </c>
      <c r="P39" s="86" t="str">
        <f>IF(pajak[[#This Row],[Kode Sales :]]="","",MATCH(pajak[[#This Row],[Kode Sales :]],[2]Invoice!$D:$D,0))</f>
        <v/>
      </c>
      <c r="Q39" s="194" t="e">
        <f>IF((INDEX([2]Invoice!$D:$D,Table4[[#This Row],[cek_ppn]]-4)&amp;" "&amp;INDEX([2]Invoice!$E:$E,Table4[[#This Row],[cek_ppn]]-4))=pajak[[#This Row],[No. Invoice :]],1)</f>
        <v>#VALUE!</v>
      </c>
      <c r="R39" s="194" t="e">
        <f>IF((INDEX([2]Invoice!$D:$D,Table4[[#This Row],[cek_ppn]]-2))=pajak[[#This Row],[Tgl Invoice :]],1)</f>
        <v>#VALUE!</v>
      </c>
      <c r="S39" s="194" t="e">
        <f>IF((INDEX([2]Invoice!$D:$D,Table4[[#This Row],[cek_ppn]]))=pajak[[#This Row],[Kode Sales :]],1)</f>
        <v>#VALUE!</v>
      </c>
      <c r="T39" s="194" t="e">
        <f>IF((INDEX([2]Invoice!$K:$K,Table4[[#This Row],[cek_ppn]]+28))=pajak[[#This Row],[Total Invoice]],1)</f>
        <v>#VALUE!</v>
      </c>
      <c r="U39" s="194" t="e">
        <f>IF((INDEX([2]Invoice!$J:$J,Table4[[#This Row],[cek_ppn]]+30))=pajak[[#This Row],[pembuat nota]],1)</f>
        <v>#VALUE!</v>
      </c>
    </row>
    <row r="40" spans="3:21" x14ac:dyDescent="0.25">
      <c r="C40" s="86" t="str">
        <f t="shared" si="1"/>
        <v/>
      </c>
      <c r="D40" s="86" t="str">
        <f>IF(pajak[[#This Row],[//]]="","",INDEX(Table1[No. Invoice :],pajak[//]-offset))</f>
        <v/>
      </c>
      <c r="E40" s="90" t="str">
        <f>IF(pajak[[#This Row],[//]]="","",INDEX(Table1[Tgl Invoice :],pajak[//]-offset))</f>
        <v/>
      </c>
      <c r="F40" s="86" t="str">
        <f>IF(pajak[[#This Row],[//]]="","",INDEX(Table1[Kode Sales :],pajak[//]-offset))</f>
        <v/>
      </c>
      <c r="G40" s="86" t="str">
        <f>IF(pajak[[#This Row],[//]]="","",INDEX(Table1[Toko],pajak[//]-offset))</f>
        <v/>
      </c>
      <c r="H40" s="89" t="str">
        <f>IF(pajak[[#This Row],[//]]="","",SUMIF(Table1[h_id],pajak[[#This Row],[//]],Table1[h_hargasebelumdiskon]))</f>
        <v/>
      </c>
      <c r="I40" s="89" t="str">
        <f>IF(pajak[[#This Row],[//]]="","",SUMIF(Table1[h_id],pajak[[#This Row],[//]],Table1[h_diskon]))</f>
        <v/>
      </c>
      <c r="J40" s="89" t="str">
        <f>IF(pajak[[#This Row],[//]]="","",SUMIF(Table1[h_id],pajak[[#This Row],[//]],Table1[h_hargasetelahdiskon]))</f>
        <v/>
      </c>
      <c r="K40" s="89" t="str">
        <f>IF(pajak[//]="","",pajak[[#This Row],[Sub Total]]/1.11*11%)</f>
        <v/>
      </c>
      <c r="L40" s="89" t="str">
        <f>pajak[[#This Row],[Sub Total]]</f>
        <v/>
      </c>
      <c r="M40" s="86" t="str">
        <f>IF(pajak[[#This Row],[//]]="","",INDEX(Table1[pembuat nota :],pajak[//]-offset))</f>
        <v/>
      </c>
      <c r="N40" s="86" t="str">
        <f>IF(pajak[[#This Row],[//]]="","",IF(INDEX(Table1[edited :],pajak[//]-offset)="","",INDEX(Table1[edited :],pajak[//]-offset)))</f>
        <v/>
      </c>
      <c r="P40" s="86" t="str">
        <f>IF(pajak[[#This Row],[Kode Sales :]]="","",MATCH(pajak[[#This Row],[Kode Sales :]],[2]Invoice!$D:$D,0))</f>
        <v/>
      </c>
      <c r="Q40" s="194" t="e">
        <f>IF((INDEX([2]Invoice!$D:$D,Table4[[#This Row],[cek_ppn]]-4)&amp;" "&amp;INDEX([2]Invoice!$E:$E,Table4[[#This Row],[cek_ppn]]-4))=pajak[[#This Row],[No. Invoice :]],1)</f>
        <v>#VALUE!</v>
      </c>
      <c r="R40" s="194" t="e">
        <f>IF((INDEX([2]Invoice!$D:$D,Table4[[#This Row],[cek_ppn]]-2))=pajak[[#This Row],[Tgl Invoice :]],1)</f>
        <v>#VALUE!</v>
      </c>
      <c r="S40" s="194" t="e">
        <f>IF((INDEX([2]Invoice!$D:$D,Table4[[#This Row],[cek_ppn]]))=pajak[[#This Row],[Kode Sales :]],1)</f>
        <v>#VALUE!</v>
      </c>
      <c r="T40" s="194" t="e">
        <f>IF((INDEX([2]Invoice!$K:$K,Table4[[#This Row],[cek_ppn]]+28))=pajak[[#This Row],[Total Invoice]],1)</f>
        <v>#VALUE!</v>
      </c>
      <c r="U40" s="194" t="e">
        <f>IF((INDEX([2]Invoice!$J:$J,Table4[[#This Row],[cek_ppn]]+30))=pajak[[#This Row],[pembuat nota]],1)</f>
        <v>#VALUE!</v>
      </c>
    </row>
    <row r="41" spans="3:21" x14ac:dyDescent="0.25">
      <c r="C41" s="86" t="str">
        <f t="shared" si="1"/>
        <v/>
      </c>
      <c r="D41" s="86" t="str">
        <f>IF(pajak[[#This Row],[//]]="","",INDEX(Table1[No. Invoice :],pajak[//]-offset))</f>
        <v/>
      </c>
      <c r="E41" s="90" t="str">
        <f>IF(pajak[[#This Row],[//]]="","",INDEX(Table1[Tgl Invoice :],pajak[//]-offset))</f>
        <v/>
      </c>
      <c r="F41" s="86" t="str">
        <f>IF(pajak[[#This Row],[//]]="","",INDEX(Table1[Kode Sales :],pajak[//]-offset))</f>
        <v/>
      </c>
      <c r="G41" s="86" t="str">
        <f>IF(pajak[[#This Row],[//]]="","",INDEX(Table1[Toko],pajak[//]-offset))</f>
        <v/>
      </c>
      <c r="H41" s="89" t="str">
        <f>IF(pajak[[#This Row],[//]]="","",SUMIF(Table1[h_id],pajak[[#This Row],[//]],Table1[h_hargasebelumdiskon]))</f>
        <v/>
      </c>
      <c r="I41" s="89" t="str">
        <f>IF(pajak[[#This Row],[//]]="","",SUMIF(Table1[h_id],pajak[[#This Row],[//]],Table1[h_diskon]))</f>
        <v/>
      </c>
      <c r="J41" s="89" t="str">
        <f>IF(pajak[[#This Row],[//]]="","",SUMIF(Table1[h_id],pajak[[#This Row],[//]],Table1[h_hargasetelahdiskon]))</f>
        <v/>
      </c>
      <c r="K41" s="89" t="str">
        <f>IF(pajak[//]="","",pajak[[#This Row],[Sub Total]]/1.11*11%)</f>
        <v/>
      </c>
      <c r="L41" s="89" t="str">
        <f>pajak[[#This Row],[Sub Total]]</f>
        <v/>
      </c>
      <c r="M41" s="86" t="str">
        <f>IF(pajak[[#This Row],[//]]="","",INDEX(Table1[pembuat nota :],pajak[//]-offset))</f>
        <v/>
      </c>
      <c r="N41" s="86" t="str">
        <f>IF(pajak[[#This Row],[//]]="","",IF(INDEX(Table1[edited :],pajak[//]-offset)="","",INDEX(Table1[edited :],pajak[//]-offset)))</f>
        <v/>
      </c>
      <c r="P41" s="86" t="str">
        <f>IF(pajak[[#This Row],[Kode Sales :]]="","",MATCH(pajak[[#This Row],[Kode Sales :]],[2]Invoice!$D:$D,0))</f>
        <v/>
      </c>
      <c r="Q41" s="194" t="e">
        <f>IF((INDEX([2]Invoice!$D:$D,Table4[[#This Row],[cek_ppn]]-4)&amp;" "&amp;INDEX([2]Invoice!$E:$E,Table4[[#This Row],[cek_ppn]]-4))=pajak[[#This Row],[No. Invoice :]],1)</f>
        <v>#VALUE!</v>
      </c>
      <c r="R41" s="194" t="e">
        <f>IF((INDEX([2]Invoice!$D:$D,Table4[[#This Row],[cek_ppn]]-2))=pajak[[#This Row],[Tgl Invoice :]],1)</f>
        <v>#VALUE!</v>
      </c>
      <c r="S41" s="194" t="e">
        <f>IF((INDEX([2]Invoice!$D:$D,Table4[[#This Row],[cek_ppn]]))=pajak[[#This Row],[Kode Sales :]],1)</f>
        <v>#VALUE!</v>
      </c>
      <c r="T41" s="194" t="e">
        <f>IF((INDEX([2]Invoice!$K:$K,Table4[[#This Row],[cek_ppn]]+28))=pajak[[#This Row],[Total Invoice]],1)</f>
        <v>#VALUE!</v>
      </c>
      <c r="U41" s="194" t="e">
        <f>IF((INDEX([2]Invoice!$J:$J,Table4[[#This Row],[cek_ppn]]+30))=pajak[[#This Row],[pembuat nota]],1)</f>
        <v>#VALUE!</v>
      </c>
    </row>
    <row r="42" spans="3:21" x14ac:dyDescent="0.25">
      <c r="C42" s="86" t="str">
        <f t="shared" si="1"/>
        <v/>
      </c>
      <c r="D42" s="86" t="str">
        <f>IF(pajak[[#This Row],[//]]="","",INDEX(Table1[No. Invoice :],pajak[//]-offset))</f>
        <v/>
      </c>
      <c r="E42" s="90" t="str">
        <f>IF(pajak[[#This Row],[//]]="","",INDEX(Table1[Tgl Invoice :],pajak[//]-offset))</f>
        <v/>
      </c>
      <c r="F42" s="86" t="str">
        <f>IF(pajak[[#This Row],[//]]="","",INDEX(Table1[Kode Sales :],pajak[//]-offset))</f>
        <v/>
      </c>
      <c r="G42" s="86" t="str">
        <f>IF(pajak[[#This Row],[//]]="","",INDEX(Table1[Toko],pajak[//]-offset))</f>
        <v/>
      </c>
      <c r="H42" s="89" t="str">
        <f>IF(pajak[[#This Row],[//]]="","",SUMIF(Table1[h_id],pajak[[#This Row],[//]],Table1[h_hargasebelumdiskon]))</f>
        <v/>
      </c>
      <c r="I42" s="89" t="str">
        <f>IF(pajak[[#This Row],[//]]="","",SUMIF(Table1[h_id],pajak[[#This Row],[//]],Table1[h_diskon]))</f>
        <v/>
      </c>
      <c r="J42" s="89" t="str">
        <f>IF(pajak[[#This Row],[//]]="","",SUMIF(Table1[h_id],pajak[[#This Row],[//]],Table1[h_hargasetelahdiskon]))</f>
        <v/>
      </c>
      <c r="K42" s="89" t="str">
        <f>IF(pajak[//]="","",pajak[[#This Row],[Sub Total]]/1.11*11%)</f>
        <v/>
      </c>
      <c r="L42" s="89" t="str">
        <f>pajak[[#This Row],[Sub Total]]</f>
        <v/>
      </c>
      <c r="M42" s="86" t="str">
        <f>IF(pajak[[#This Row],[//]]="","",INDEX(Table1[pembuat nota :],pajak[//]-offset))</f>
        <v/>
      </c>
      <c r="N42" s="86" t="str">
        <f>IF(pajak[[#This Row],[//]]="","",IF(INDEX(Table1[edited :],pajak[//]-offset)="","",INDEX(Table1[edited :],pajak[//]-offset)))</f>
        <v/>
      </c>
      <c r="P42" s="86" t="str">
        <f>IF(pajak[[#This Row],[Kode Sales :]]="","",MATCH(pajak[[#This Row],[Kode Sales :]],[2]Invoice!$D:$D,0))</f>
        <v/>
      </c>
      <c r="Q42" s="194" t="e">
        <f>IF((INDEX([2]Invoice!$D:$D,Table4[[#This Row],[cek_ppn]]-4)&amp;" "&amp;INDEX([2]Invoice!$E:$E,Table4[[#This Row],[cek_ppn]]-4))=pajak[[#This Row],[No. Invoice :]],1)</f>
        <v>#VALUE!</v>
      </c>
      <c r="R42" s="194" t="e">
        <f>IF((INDEX([2]Invoice!$D:$D,Table4[[#This Row],[cek_ppn]]-2))=pajak[[#This Row],[Tgl Invoice :]],1)</f>
        <v>#VALUE!</v>
      </c>
      <c r="S42" s="194" t="e">
        <f>IF((INDEX([2]Invoice!$D:$D,Table4[[#This Row],[cek_ppn]]))=pajak[[#This Row],[Kode Sales :]],1)</f>
        <v>#VALUE!</v>
      </c>
      <c r="T42" s="194" t="e">
        <f>IF((INDEX([2]Invoice!$K:$K,Table4[[#This Row],[cek_ppn]]+28))=pajak[[#This Row],[Total Invoice]],1)</f>
        <v>#VALUE!</v>
      </c>
      <c r="U42" s="194" t="e">
        <f>IF((INDEX([2]Invoice!$J:$J,Table4[[#This Row],[cek_ppn]]+30))=pajak[[#This Row],[pembuat nota]],1)</f>
        <v>#VALUE!</v>
      </c>
    </row>
    <row r="43" spans="3:21" x14ac:dyDescent="0.25">
      <c r="C43" s="86" t="str">
        <f t="shared" si="1"/>
        <v/>
      </c>
      <c r="D43" s="86" t="str">
        <f>IF(pajak[[#This Row],[//]]="","",INDEX(Table1[No. Invoice :],pajak[//]-offset))</f>
        <v/>
      </c>
      <c r="E43" s="90" t="str">
        <f>IF(pajak[[#This Row],[//]]="","",INDEX(Table1[Tgl Invoice :],pajak[//]-offset))</f>
        <v/>
      </c>
      <c r="F43" s="86" t="str">
        <f>IF(pajak[[#This Row],[//]]="","",INDEX(Table1[Kode Sales :],pajak[//]-offset))</f>
        <v/>
      </c>
      <c r="G43" s="86" t="str">
        <f>IF(pajak[[#This Row],[//]]="","",INDEX(Table1[Toko],pajak[//]-offset))</f>
        <v/>
      </c>
      <c r="H43" s="89" t="str">
        <f>IF(pajak[[#This Row],[//]]="","",SUMIF(Table1[h_id],pajak[[#This Row],[//]],Table1[h_hargasebelumdiskon]))</f>
        <v/>
      </c>
      <c r="I43" s="89" t="str">
        <f>IF(pajak[[#This Row],[//]]="","",SUMIF(Table1[h_id],pajak[[#This Row],[//]],Table1[h_diskon]))</f>
        <v/>
      </c>
      <c r="J43" s="89" t="str">
        <f>IF(pajak[[#This Row],[//]]="","",SUMIF(Table1[h_id],pajak[[#This Row],[//]],Table1[h_hargasetelahdiskon]))</f>
        <v/>
      </c>
      <c r="K43" s="89" t="str">
        <f>IF(pajak[//]="","",pajak[[#This Row],[Sub Total]]/1.11*11%)</f>
        <v/>
      </c>
      <c r="L43" s="89" t="str">
        <f>pajak[[#This Row],[Sub Total]]</f>
        <v/>
      </c>
      <c r="M43" s="86" t="str">
        <f>IF(pajak[[#This Row],[//]]="","",INDEX(Table1[pembuat nota :],pajak[//]-offset))</f>
        <v/>
      </c>
      <c r="N43" s="86" t="str">
        <f>IF(pajak[[#This Row],[//]]="","",IF(INDEX(Table1[edited :],pajak[//]-offset)="","",INDEX(Table1[edited :],pajak[//]-offset)))</f>
        <v/>
      </c>
      <c r="P43" s="86" t="str">
        <f>IF(pajak[[#This Row],[Kode Sales :]]="","",MATCH(pajak[[#This Row],[Kode Sales :]],[2]Invoice!$D:$D,0))</f>
        <v/>
      </c>
      <c r="Q43" s="194" t="e">
        <f>IF((INDEX([2]Invoice!$D:$D,Table4[[#This Row],[cek_ppn]]-4)&amp;" "&amp;INDEX([2]Invoice!$E:$E,Table4[[#This Row],[cek_ppn]]-4))=pajak[[#This Row],[No. Invoice :]],1)</f>
        <v>#VALUE!</v>
      </c>
      <c r="R43" s="194" t="e">
        <f>IF((INDEX([2]Invoice!$D:$D,Table4[[#This Row],[cek_ppn]]-2))=pajak[[#This Row],[Tgl Invoice :]],1)</f>
        <v>#VALUE!</v>
      </c>
      <c r="S43" s="194" t="e">
        <f>IF((INDEX([2]Invoice!$D:$D,Table4[[#This Row],[cek_ppn]]))=pajak[[#This Row],[Kode Sales :]],1)</f>
        <v>#VALUE!</v>
      </c>
      <c r="T43" s="194" t="e">
        <f>IF((INDEX([2]Invoice!$K:$K,Table4[[#This Row],[cek_ppn]]+28))=pajak[[#This Row],[Total Invoice]],1)</f>
        <v>#VALUE!</v>
      </c>
      <c r="U43" s="194" t="e">
        <f>IF((INDEX([2]Invoice!$J:$J,Table4[[#This Row],[cek_ppn]]+30))=pajak[[#This Row],[pembuat nota]],1)</f>
        <v>#VALUE!</v>
      </c>
    </row>
    <row r="44" spans="3:21" x14ac:dyDescent="0.25">
      <c r="C44" s="86" t="str">
        <f t="shared" si="1"/>
        <v/>
      </c>
      <c r="D44" s="86" t="str">
        <f>IF(pajak[[#This Row],[//]]="","",INDEX(Table1[No. Invoice :],pajak[//]-offset))</f>
        <v/>
      </c>
      <c r="E44" s="90" t="str">
        <f>IF(pajak[[#This Row],[//]]="","",INDEX(Table1[Tgl Invoice :],pajak[//]-offset))</f>
        <v/>
      </c>
      <c r="F44" s="86" t="str">
        <f>IF(pajak[[#This Row],[//]]="","",INDEX(Table1[Kode Sales :],pajak[//]-offset))</f>
        <v/>
      </c>
      <c r="G44" s="86" t="str">
        <f>IF(pajak[[#This Row],[//]]="","",INDEX(Table1[Toko],pajak[//]-offset))</f>
        <v/>
      </c>
      <c r="H44" s="89" t="str">
        <f>IF(pajak[[#This Row],[//]]="","",SUMIF(Table1[h_id],pajak[[#This Row],[//]],Table1[h_hargasebelumdiskon]))</f>
        <v/>
      </c>
      <c r="I44" s="89" t="str">
        <f>IF(pajak[[#This Row],[//]]="","",SUMIF(Table1[h_id],pajak[[#This Row],[//]],Table1[h_diskon]))</f>
        <v/>
      </c>
      <c r="J44" s="89" t="str">
        <f>IF(pajak[[#This Row],[//]]="","",SUMIF(Table1[h_id],pajak[[#This Row],[//]],Table1[h_hargasetelahdiskon]))</f>
        <v/>
      </c>
      <c r="K44" s="89" t="str">
        <f>IF(pajak[//]="","",pajak[[#This Row],[Sub Total]]/1.11*11%)</f>
        <v/>
      </c>
      <c r="L44" s="89" t="str">
        <f>pajak[[#This Row],[Sub Total]]</f>
        <v/>
      </c>
      <c r="M44" s="86" t="str">
        <f>IF(pajak[[#This Row],[//]]="","",INDEX(Table1[pembuat nota :],pajak[//]-offset))</f>
        <v/>
      </c>
      <c r="N44" s="86" t="str">
        <f>IF(pajak[[#This Row],[//]]="","",IF(INDEX(Table1[edited :],pajak[//]-offset)="","",INDEX(Table1[edited :],pajak[//]-offset)))</f>
        <v/>
      </c>
      <c r="P44" s="86" t="str">
        <f>IF(pajak[[#This Row],[Kode Sales :]]="","",MATCH(pajak[[#This Row],[Kode Sales :]],[2]Invoice!$D:$D,0))</f>
        <v/>
      </c>
      <c r="Q44" s="194" t="e">
        <f>IF((INDEX([2]Invoice!$D:$D,Table4[[#This Row],[cek_ppn]]-4)&amp;" "&amp;INDEX([2]Invoice!$E:$E,Table4[[#This Row],[cek_ppn]]-4))=pajak[[#This Row],[No. Invoice :]],1)</f>
        <v>#VALUE!</v>
      </c>
      <c r="R44" s="194" t="e">
        <f>IF((INDEX([2]Invoice!$D:$D,Table4[[#This Row],[cek_ppn]]-2))=pajak[[#This Row],[Tgl Invoice :]],1)</f>
        <v>#VALUE!</v>
      </c>
      <c r="S44" s="194" t="e">
        <f>IF((INDEX([2]Invoice!$D:$D,Table4[[#This Row],[cek_ppn]]))=pajak[[#This Row],[Kode Sales :]],1)</f>
        <v>#VALUE!</v>
      </c>
      <c r="T44" s="194" t="e">
        <f>IF((INDEX([2]Invoice!$K:$K,Table4[[#This Row],[cek_ppn]]+28))=pajak[[#This Row],[Total Invoice]],1)</f>
        <v>#VALUE!</v>
      </c>
      <c r="U44" s="194" t="e">
        <f>IF((INDEX([2]Invoice!$J:$J,Table4[[#This Row],[cek_ppn]]+30))=pajak[[#This Row],[pembuat nota]],1)</f>
        <v>#VALUE!</v>
      </c>
    </row>
    <row r="45" spans="3:21" x14ac:dyDescent="0.25">
      <c r="C45" s="86" t="str">
        <f t="shared" si="1"/>
        <v/>
      </c>
      <c r="D45" s="86" t="str">
        <f>IF(pajak[[#This Row],[//]]="","",INDEX(Table1[No. Invoice :],pajak[//]-offset))</f>
        <v/>
      </c>
      <c r="E45" s="90" t="str">
        <f>IF(pajak[[#This Row],[//]]="","",INDEX(Table1[Tgl Invoice :],pajak[//]-offset))</f>
        <v/>
      </c>
      <c r="F45" s="86" t="str">
        <f>IF(pajak[[#This Row],[//]]="","",INDEX(Table1[Kode Sales :],pajak[//]-offset))</f>
        <v/>
      </c>
      <c r="G45" s="86" t="str">
        <f>IF(pajak[[#This Row],[//]]="","",INDEX(Table1[Toko],pajak[//]-offset))</f>
        <v/>
      </c>
      <c r="H45" s="89" t="str">
        <f>IF(pajak[[#This Row],[//]]="","",SUMIF(Table1[h_id],pajak[[#This Row],[//]],Table1[h_hargasebelumdiskon]))</f>
        <v/>
      </c>
      <c r="I45" s="89" t="str">
        <f>IF(pajak[[#This Row],[//]]="","",SUMIF(Table1[h_id],pajak[[#This Row],[//]],Table1[h_diskon]))</f>
        <v/>
      </c>
      <c r="J45" s="89" t="str">
        <f>IF(pajak[[#This Row],[//]]="","",SUMIF(Table1[h_id],pajak[[#This Row],[//]],Table1[h_hargasetelahdiskon]))</f>
        <v/>
      </c>
      <c r="K45" s="89" t="str">
        <f>IF(pajak[//]="","",pajak[[#This Row],[Sub Total]]/1.11*11%)</f>
        <v/>
      </c>
      <c r="L45" s="89" t="str">
        <f>pajak[[#This Row],[Sub Total]]</f>
        <v/>
      </c>
      <c r="M45" s="86" t="str">
        <f>IF(pajak[[#This Row],[//]]="","",INDEX(Table1[pembuat nota :],pajak[//]-offset))</f>
        <v/>
      </c>
      <c r="N45" s="86" t="str">
        <f>IF(pajak[[#This Row],[//]]="","",IF(INDEX(Table1[edited :],pajak[//]-offset)="","",INDEX(Table1[edited :],pajak[//]-offset)))</f>
        <v/>
      </c>
      <c r="P45" s="86" t="str">
        <f>IF(pajak[[#This Row],[Kode Sales :]]="","",MATCH(pajak[[#This Row],[Kode Sales :]],[2]Invoice!$D:$D,0))</f>
        <v/>
      </c>
      <c r="Q45" s="194" t="e">
        <f>IF((INDEX([2]Invoice!$D:$D,Table4[[#This Row],[cek_ppn]]-4)&amp;" "&amp;INDEX([2]Invoice!$E:$E,Table4[[#This Row],[cek_ppn]]-4))=pajak[[#This Row],[No. Invoice :]],1)</f>
        <v>#VALUE!</v>
      </c>
      <c r="R45" s="194" t="e">
        <f>IF((INDEX([2]Invoice!$D:$D,Table4[[#This Row],[cek_ppn]]-2))=pajak[[#This Row],[Tgl Invoice :]],1)</f>
        <v>#VALUE!</v>
      </c>
      <c r="S45" s="194" t="e">
        <f>IF((INDEX([2]Invoice!$D:$D,Table4[[#This Row],[cek_ppn]]))=pajak[[#This Row],[Kode Sales :]],1)</f>
        <v>#VALUE!</v>
      </c>
      <c r="T45" s="194" t="e">
        <f>IF((INDEX([2]Invoice!$K:$K,Table4[[#This Row],[cek_ppn]]+28))=pajak[[#This Row],[Total Invoice]],1)</f>
        <v>#VALUE!</v>
      </c>
      <c r="U45" s="194" t="e">
        <f>IF((INDEX([2]Invoice!$J:$J,Table4[[#This Row],[cek_ppn]]+30))=pajak[[#This Row],[pembuat nota]],1)</f>
        <v>#VALUE!</v>
      </c>
    </row>
    <row r="46" spans="3:21" x14ac:dyDescent="0.25">
      <c r="C46" s="86" t="str">
        <f t="shared" si="1"/>
        <v/>
      </c>
      <c r="D46" s="86" t="str">
        <f>IF(pajak[[#This Row],[//]]="","",INDEX(Table1[No. Invoice :],pajak[//]-offset))</f>
        <v/>
      </c>
      <c r="E46" s="90" t="str">
        <f>IF(pajak[[#This Row],[//]]="","",INDEX(Table1[Tgl Invoice :],pajak[//]-offset))</f>
        <v/>
      </c>
      <c r="F46" s="86" t="str">
        <f>IF(pajak[[#This Row],[//]]="","",INDEX(Table1[Kode Sales :],pajak[//]-offset))</f>
        <v/>
      </c>
      <c r="G46" s="86" t="str">
        <f>IF(pajak[[#This Row],[//]]="","",INDEX(Table1[Toko],pajak[//]-offset))</f>
        <v/>
      </c>
      <c r="H46" s="89" t="str">
        <f>IF(pajak[[#This Row],[//]]="","",SUMIF(Table1[h_id],pajak[[#This Row],[//]],Table1[h_hargasebelumdiskon]))</f>
        <v/>
      </c>
      <c r="I46" s="89" t="str">
        <f>IF(pajak[[#This Row],[//]]="","",SUMIF(Table1[h_id],pajak[[#This Row],[//]],Table1[h_diskon]))</f>
        <v/>
      </c>
      <c r="J46" s="89" t="str">
        <f>IF(pajak[[#This Row],[//]]="","",SUMIF(Table1[h_id],pajak[[#This Row],[//]],Table1[h_hargasetelahdiskon]))</f>
        <v/>
      </c>
      <c r="K46" s="89" t="str">
        <f>IF(pajak[//]="","",pajak[[#This Row],[Sub Total]]/1.11*11%)</f>
        <v/>
      </c>
      <c r="L46" s="89" t="str">
        <f>pajak[[#This Row],[Sub Total]]</f>
        <v/>
      </c>
      <c r="M46" s="86" t="str">
        <f>IF(pajak[[#This Row],[//]]="","",INDEX(Table1[pembuat nota :],pajak[//]-offset))</f>
        <v/>
      </c>
      <c r="N46" s="86" t="str">
        <f>IF(pajak[[#This Row],[//]]="","",IF(INDEX(Table1[edited :],pajak[//]-offset)="","",INDEX(Table1[edited :],pajak[//]-offset)))</f>
        <v/>
      </c>
      <c r="P46" s="86" t="str">
        <f>IF(pajak[[#This Row],[Kode Sales :]]="","",MATCH(pajak[[#This Row],[Kode Sales :]],[2]Invoice!$D:$D,0))</f>
        <v/>
      </c>
      <c r="Q46" s="194" t="e">
        <f>IF((INDEX([2]Invoice!$D:$D,Table4[[#This Row],[cek_ppn]]-4)&amp;" "&amp;INDEX([2]Invoice!$E:$E,Table4[[#This Row],[cek_ppn]]-4))=pajak[[#This Row],[No. Invoice :]],1)</f>
        <v>#VALUE!</v>
      </c>
      <c r="R46" s="194" t="e">
        <f>IF((INDEX([2]Invoice!$D:$D,Table4[[#This Row],[cek_ppn]]-2))=pajak[[#This Row],[Tgl Invoice :]],1)</f>
        <v>#VALUE!</v>
      </c>
      <c r="S46" s="194" t="e">
        <f>IF((INDEX([2]Invoice!$D:$D,Table4[[#This Row],[cek_ppn]]))=pajak[[#This Row],[Kode Sales :]],1)</f>
        <v>#VALUE!</v>
      </c>
      <c r="T46" s="194" t="e">
        <f>IF((INDEX([2]Invoice!$K:$K,Table4[[#This Row],[cek_ppn]]+28))=pajak[[#This Row],[Total Invoice]],1)</f>
        <v>#VALUE!</v>
      </c>
      <c r="U46" s="194" t="e">
        <f>IF((INDEX([2]Invoice!$J:$J,Table4[[#This Row],[cek_ppn]]+30))=pajak[[#This Row],[pembuat nota]],1)</f>
        <v>#VALUE!</v>
      </c>
    </row>
    <row r="47" spans="3:21" x14ac:dyDescent="0.25">
      <c r="C47" s="86" t="str">
        <f t="shared" si="1"/>
        <v/>
      </c>
      <c r="D47" s="86" t="str">
        <f>IF(pajak[[#This Row],[//]]="","",INDEX(Table1[No. Invoice :],pajak[//]-offset))</f>
        <v/>
      </c>
      <c r="E47" s="90" t="str">
        <f>IF(pajak[[#This Row],[//]]="","",INDEX(Table1[Tgl Invoice :],pajak[//]-offset))</f>
        <v/>
      </c>
      <c r="F47" s="86" t="str">
        <f>IF(pajak[[#This Row],[//]]="","",INDEX(Table1[Kode Sales :],pajak[//]-offset))</f>
        <v/>
      </c>
      <c r="G47" s="86" t="str">
        <f>IF(pajak[[#This Row],[//]]="","",INDEX(Table1[Toko],pajak[//]-offset))</f>
        <v/>
      </c>
      <c r="H47" s="89" t="str">
        <f>IF(pajak[[#This Row],[//]]="","",SUMIF(Table1[h_id],pajak[[#This Row],[//]],Table1[h_hargasebelumdiskon]))</f>
        <v/>
      </c>
      <c r="I47" s="89" t="str">
        <f>IF(pajak[[#This Row],[//]]="","",SUMIF(Table1[h_id],pajak[[#This Row],[//]],Table1[h_diskon]))</f>
        <v/>
      </c>
      <c r="J47" s="89" t="str">
        <f>IF(pajak[[#This Row],[//]]="","",SUMIF(Table1[h_id],pajak[[#This Row],[//]],Table1[h_hargasetelahdiskon]))</f>
        <v/>
      </c>
      <c r="K47" s="89" t="str">
        <f>IF(pajak[//]="","",pajak[[#This Row],[Sub Total]]/1.11*11%)</f>
        <v/>
      </c>
      <c r="L47" s="89" t="str">
        <f>pajak[[#This Row],[Sub Total]]</f>
        <v/>
      </c>
      <c r="M47" s="86" t="str">
        <f>IF(pajak[[#This Row],[//]]="","",INDEX(Table1[pembuat nota :],pajak[//]-offset))</f>
        <v/>
      </c>
      <c r="N47" s="86" t="str">
        <f>IF(pajak[[#This Row],[//]]="","",IF(INDEX(Table1[edited :],pajak[//]-offset)="","",INDEX(Table1[edited :],pajak[//]-offset)))</f>
        <v/>
      </c>
      <c r="P47" s="86" t="str">
        <f>IF(pajak[[#This Row],[Kode Sales :]]="","",MATCH(pajak[[#This Row],[Kode Sales :]],[2]Invoice!$D:$D,0))</f>
        <v/>
      </c>
      <c r="Q47" s="194" t="e">
        <f>IF((INDEX([2]Invoice!$D:$D,Table4[[#This Row],[cek_ppn]]-4)&amp;" "&amp;INDEX([2]Invoice!$E:$E,Table4[[#This Row],[cek_ppn]]-4))=pajak[[#This Row],[No. Invoice :]],1)</f>
        <v>#VALUE!</v>
      </c>
      <c r="R47" s="194" t="e">
        <f>IF((INDEX([2]Invoice!$D:$D,Table4[[#This Row],[cek_ppn]]-2))=pajak[[#This Row],[Tgl Invoice :]],1)</f>
        <v>#VALUE!</v>
      </c>
      <c r="S47" s="194" t="e">
        <f>IF((INDEX([2]Invoice!$D:$D,Table4[[#This Row],[cek_ppn]]))=pajak[[#This Row],[Kode Sales :]],1)</f>
        <v>#VALUE!</v>
      </c>
      <c r="T47" s="194" t="e">
        <f>IF((INDEX([2]Invoice!$K:$K,Table4[[#This Row],[cek_ppn]]+28))=pajak[[#This Row],[Total Invoice]],1)</f>
        <v>#VALUE!</v>
      </c>
      <c r="U47" s="194" t="e">
        <f>IF((INDEX([2]Invoice!$J:$J,Table4[[#This Row],[cek_ppn]]+30))=pajak[[#This Row],[pembuat nota]],1)</f>
        <v>#VALUE!</v>
      </c>
    </row>
    <row r="48" spans="3:21" x14ac:dyDescent="0.25"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3:21" x14ac:dyDescent="0.25"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3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3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3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3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3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3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3:21" x14ac:dyDescent="0.25">
      <c r="C56" t="s">
        <v>51</v>
      </c>
      <c r="E56"/>
      <c r="H56" s="89">
        <f ca="1">SUBTOTAL(109,pajak[Total])</f>
        <v>104891100</v>
      </c>
      <c r="I56" s="89">
        <f ca="1">SUBTOTAL(109,pajak[Diskon])</f>
        <v>13995334</v>
      </c>
      <c r="J56" s="89">
        <f ca="1">SUBTOTAL(109,pajak[Sub Total])</f>
        <v>90895766</v>
      </c>
      <c r="K56" s="89">
        <f ca="1">SUBTOTAL(109,pajak[PPN 11%])</f>
        <v>9007688.5225225203</v>
      </c>
      <c r="L56" s="89">
        <f ca="1">SUBTOTAL(109,pajak[Total Invoice])</f>
        <v>90895766</v>
      </c>
      <c r="M56"/>
      <c r="N56"/>
    </row>
  </sheetData>
  <conditionalFormatting sqref="F57:F1048576 F1:F55">
    <cfRule type="duplicateValues" dxfId="76" priority="9"/>
  </conditionalFormatting>
  <conditionalFormatting sqref="Q1:U1048576">
    <cfRule type="containsText" dxfId="75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F13" sqref="F1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51</v>
      </c>
      <c r="B1" t="s">
        <v>43</v>
      </c>
      <c r="C1">
        <f>COUNTA(NOTA!B1:B2)</f>
        <v>2</v>
      </c>
      <c r="D1" t="s">
        <v>44</v>
      </c>
      <c r="E1" t="str">
        <f>INDEX(Table1[h_toko],newestIdRow-offset)</f>
        <v>BENDAN</v>
      </c>
      <c r="F1" t="s">
        <v>46</v>
      </c>
      <c r="G1">
        <f ca="1">INDEX(Table1[h_jumlahbarang],newestIdRow-offset)</f>
        <v>1</v>
      </c>
      <c r="I1" s="305" t="s">
        <v>77</v>
      </c>
      <c r="J1" s="305"/>
      <c r="K1">
        <v>51</v>
      </c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23040013</v>
      </c>
      <c r="G3" s="11" t="s">
        <v>16</v>
      </c>
      <c r="H3" s="312" t="str">
        <f>INDEX(Table2[b],MATCH(kToko,Table2[a],0))</f>
        <v>HARNOYO</v>
      </c>
      <c r="I3" s="312"/>
      <c r="J3" s="312"/>
      <c r="K3" s="313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16" t="s">
        <v>18</v>
      </c>
      <c r="G4" s="17"/>
      <c r="H4" s="314"/>
      <c r="I4" s="314"/>
      <c r="J4" s="314"/>
      <c r="K4" s="315"/>
      <c r="L4" s="12"/>
    </row>
    <row r="5" spans="1:12" s="10" customFormat="1" ht="16.5" customHeight="1" x14ac:dyDescent="0.3">
      <c r="A5" s="7"/>
      <c r="B5" s="1" t="s">
        <v>2</v>
      </c>
      <c r="C5" s="8"/>
      <c r="D5" s="317">
        <f>INDEX(Table1[Tgl Invoice :],newestIdRow-offset)</f>
        <v>45026</v>
      </c>
      <c r="E5" s="318"/>
      <c r="F5" s="316"/>
      <c r="G5" s="18"/>
      <c r="H5" s="319" t="str">
        <f>IF(INDEX(Table2[c],MATCH(kToko,Table2[a],0))="","",INDEX(Table2[c],MATCH(kToko,Table2[a],0)))</f>
        <v>(BENDAN)</v>
      </c>
      <c r="I5" s="319"/>
      <c r="J5" s="319"/>
      <c r="K5" s="320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16"/>
      <c r="G6" s="18"/>
      <c r="H6" s="321" t="str">
        <f>INDEX(Table2[d],MATCH(kToko,Table2[a],0))</f>
        <v>PEKALONGAN</v>
      </c>
      <c r="I6" s="321"/>
      <c r="J6" s="321"/>
      <c r="K6" s="322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KO 1464</v>
      </c>
      <c r="E7" s="9"/>
      <c r="F7" s="21"/>
      <c r="G7" s="22"/>
      <c r="H7" s="323"/>
      <c r="I7" s="323"/>
      <c r="J7" s="323"/>
      <c r="K7" s="324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60</v>
      </c>
      <c r="C11" s="46" t="str">
        <f ca="1">IF(A11&gt;jumlahBarang,"",INDEX(Table1[Unit],newestIdRow-offset+A11-1))</f>
        <v>PCS</v>
      </c>
      <c r="D11" s="47" t="str">
        <f ca="1">IF(A11&gt;jumlahBarang,"",IF(INDEX(Table1[C],newestIdRow-offset+A11-1)="","",INDEX(Table1[C],newestIdRow-offset+A11-1)))</f>
        <v/>
      </c>
      <c r="E11" s="48" t="str">
        <f ca="1">IF(A11&gt;jumlahBarang,"",INDEX(Table1[Item Description],newestIdRow-offset+A11-1))</f>
        <v>HIGHLIGHTER / STABILLO JOYKO HL MIX (kuning, hijau)</v>
      </c>
      <c r="F11" s="49"/>
      <c r="G11" s="50"/>
      <c r="H11" s="51">
        <f ca="1">IF(A11&gt;jumlahBarang,"",INDEX(Table1[Unit Price],newestIdRow-offset+A11-1))</f>
        <v>3700</v>
      </c>
      <c r="I11" s="52">
        <f ca="1">IF(A11&gt;jumlahBarang,"",IF(INDEX(Table1[Disc 1],newestIdRow-offset+A11-1)="","",INDEX(Table1[Disc 1],newestIdRow-offset+A11-1)))</f>
        <v>0.14000000000000001</v>
      </c>
      <c r="J11" s="52" t="str">
        <f ca="1">IF(A11&gt;jumlahBarang,"",IF(INDEX(Table1[Disc 2],newestIdRow-offset+A11-1)="","",INDEX(Table1[Disc 2],newestIdRow-offset+A11-1)))</f>
        <v/>
      </c>
      <c r="K11" s="53">
        <f ca="1">IF(A11&gt;jumlahBarang,"",INDEX(Table1[Amount],newestIdRow-offset+A11-1))</f>
        <v>190920</v>
      </c>
      <c r="L11" s="36"/>
    </row>
    <row r="12" spans="1:12" s="10" customFormat="1" ht="14.1" customHeight="1" x14ac:dyDescent="0.25">
      <c r="A12" s="45">
        <v>2</v>
      </c>
      <c r="B12" s="46" t="str">
        <f ca="1">IF(A12&gt;jumlahBarang,"",INDEX(Table1[Qty],newestIdRow-offset+A12-1))</f>
        <v/>
      </c>
      <c r="C12" s="46" t="str">
        <f ca="1">IF(A12&gt;jumlahBarang,"",INDEX(Table1[Unit],newestIdRow-offset+A12-1))</f>
        <v/>
      </c>
      <c r="D12" s="47" t="str">
        <f ca="1">IF(A12&gt;jumlahBarang,"",IF(INDEX(Table1[C],newestIdRow-offset+A12-1)="","",INDEX(Table1[C],newestIdRow-offset+A12-1)))</f>
        <v/>
      </c>
      <c r="E12" s="48" t="str">
        <f ca="1">IF(A12&gt;jumlahBarang,"",INDEX(Table1[Item Description],newestIdRow-offset+A12-1))</f>
        <v/>
      </c>
      <c r="F12" s="49"/>
      <c r="G12" s="50"/>
      <c r="H12" s="51" t="str">
        <f ca="1">IF(A12&gt;jumlahBarang,"",INDEX(Table1[Unit Price],newestIdRow-offset+A12-1))</f>
        <v/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 t="str">
        <f ca="1">IF(A13&gt;jumlahBarang,"",INDEX(Table1[Qty],newestIdRow-offset+A13-1))</f>
        <v/>
      </c>
      <c r="C13" s="46" t="str">
        <f ca="1">IF(A13&gt;jumlahBarang,"",INDEX(Table1[Unit],newestIdRow-offset+A13-1))</f>
        <v/>
      </c>
      <c r="D13" s="47" t="str">
        <f ca="1">IF(A13&gt;jumlahBarang,"",IF(INDEX(Table1[C],newestIdRow-offset+A13-1)="","",INDEX(Table1[C],newestIdRow-offset+A13-1)))</f>
        <v/>
      </c>
      <c r="E13" s="48" t="str">
        <f ca="1">IF(A13&gt;jumlahBarang,"",INDEX(Table1[Item Description],newestIdRow-offset+A13-1))</f>
        <v/>
      </c>
      <c r="F13" s="49"/>
      <c r="G13" s="50"/>
      <c r="H13" s="51" t="str">
        <f ca="1">IF(A13&gt;jumlahBarang,"",INDEX(Table1[Unit Price],newestIdRow-offset+A13-1))</f>
        <v/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 t="str">
        <f ca="1">IF(A14&gt;jumlahBarang,"",INDEX(Table1[Qty],newestIdRow-offset+A14-1))</f>
        <v/>
      </c>
      <c r="C14" s="46" t="str">
        <f ca="1">IF(A14&gt;jumlahBarang,"",INDEX(Table1[Unit],newestIdRow-offset+A14-1))</f>
        <v/>
      </c>
      <c r="D14" s="47" t="str">
        <f ca="1">IF(A14&gt;jumlahBarang,"",IF(INDEX(Table1[C],newestIdRow-offset+A14-1)="","",INDEX(Table1[C],newestIdRow-offset+A14-1)))</f>
        <v/>
      </c>
      <c r="E14" s="48" t="str">
        <f ca="1">IF(A14&gt;jumlahBarang,"",INDEX(Table1[Item Description],newestIdRow-offset+A14-1))</f>
        <v/>
      </c>
      <c r="F14" s="49"/>
      <c r="G14" s="50"/>
      <c r="H14" s="51" t="str">
        <f ca="1">IF(A14&gt;jumlahBarang,"",INDEX(Table1[Unit Price],newestIdRow-offset+A14-1))</f>
        <v/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 t="str">
        <f ca="1">IF(A15&gt;jumlahBarang,"",INDEX(Table1[Qty],newestIdRow-offset+A15-1))</f>
        <v/>
      </c>
      <c r="C15" s="46" t="str">
        <f ca="1">IF(A15&gt;jumlahBarang,"",INDEX(Table1[Unit],newestIdRow-offset+A15-1))</f>
        <v/>
      </c>
      <c r="D15" s="47" t="str">
        <f ca="1">IF(A15&gt;jumlahBarang,"",IF(INDEX(Table1[C],newestIdRow-offset+A15-1)="","",INDEX(Table1[C],newestIdRow-offset+A15-1)))</f>
        <v/>
      </c>
      <c r="E15" s="48" t="str">
        <f ca="1">IF(A15&gt;jumlahBarang,"",INDEX(Table1[Item Description],newestIdRow-offset+A15-1))</f>
        <v/>
      </c>
      <c r="F15" s="49"/>
      <c r="G15" s="50"/>
      <c r="H15" s="51" t="str">
        <f ca="1">IF(A15&gt;jumlahBarang,"",INDEX(Table1[Unit Price],newestIdRow-offset+A15-1))</f>
        <v/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 t="str">
        <f ca="1">IF(A16&gt;jumlahBarang,"",INDEX(Table1[Qty],newestIdRow-offset+A16-1))</f>
        <v/>
      </c>
      <c r="C16" s="46" t="str">
        <f ca="1">IF(A16&gt;jumlahBarang,"",INDEX(Table1[Unit],newestIdRow-offset+A16-1))</f>
        <v/>
      </c>
      <c r="D16" s="47" t="str">
        <f ca="1">IF(A16&gt;jumlahBarang,"",IF(INDEX(Table1[C],newestIdRow-offset+A16-1)="","",INDEX(Table1[C],newestIdRow-offset+A16-1)))</f>
        <v/>
      </c>
      <c r="E16" s="48" t="str">
        <f ca="1">IF(A16&gt;jumlahBarang,"",INDEX(Table1[Item Description],newestIdRow-offset+A16-1))</f>
        <v/>
      </c>
      <c r="F16" s="49"/>
      <c r="G16" s="50"/>
      <c r="H16" s="51" t="str">
        <f ca="1">IF(A16&gt;jumlahBarang,"",INDEX(Table1[Unit Price],newestIdRow-offset+A16-1))</f>
        <v/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 t="str">
        <f ca="1">IF(A17&gt;jumlahBarang,"",INDEX(Table1[Qty],newestIdRow-offset+A17-1))</f>
        <v/>
      </c>
      <c r="C17" s="46" t="str">
        <f ca="1">IF(A17&gt;jumlahBarang,"",INDEX(Table1[Unit],newestIdRow-offset+A17-1))</f>
        <v/>
      </c>
      <c r="D17" s="47" t="str">
        <f ca="1">IF(A17&gt;jumlahBarang,"",IF(INDEX(Table1[C],newestIdRow-offset+A17-1)="","",INDEX(Table1[C],newestIdRow-offset+A17-1)))</f>
        <v/>
      </c>
      <c r="E17" s="48" t="str">
        <f ca="1">IF(A17&gt;jumlahBarang,"",INDEX(Table1[Item Description],newestIdRow-offset+A17-1))</f>
        <v/>
      </c>
      <c r="F17" s="49"/>
      <c r="G17" s="50"/>
      <c r="H17" s="51" t="str">
        <f ca="1">IF(A17&gt;jumlahBarang,"",INDEX(Table1[Unit Price],newestIdRow-offset+A17-1))</f>
        <v/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 t="str">
        <f ca="1">IF(A18&gt;jumlahBarang,"",INDEX(Table1[Qty],newestIdRow-offset+A18-1))</f>
        <v/>
      </c>
      <c r="C18" s="46" t="str">
        <f ca="1">IF(A18&gt;jumlahBarang,"",INDEX(Table1[Unit],newestIdRow-offset+A18-1))</f>
        <v/>
      </c>
      <c r="D18" s="47" t="str">
        <f ca="1">IF(A18&gt;jumlahBarang,"",IF(INDEX(Table1[C],newestIdRow-offset+A18-1)="","",INDEX(Table1[C],newestIdRow-offset+A18-1)))</f>
        <v/>
      </c>
      <c r="E18" s="48" t="str">
        <f ca="1">IF(A18&gt;jumlahBarang,"",INDEX(Table1[Item Description],newestIdRow-offset+A18-1))</f>
        <v/>
      </c>
      <c r="F18" s="49"/>
      <c r="G18" s="50"/>
      <c r="H18" s="51" t="str">
        <f ca="1">IF(A18&gt;jumlahBarang,"",INDEX(Table1[Unit Price],newestIdRow-offset+A18-1))</f>
        <v/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 t="str">
        <f ca="1">IF(A19&gt;jumlahBarang,"",INDEX(Table1[Qty],newestIdRow-offset+A19-1))</f>
        <v/>
      </c>
      <c r="C19" s="46" t="str">
        <f ca="1">IF(A19&gt;jumlahBarang,"",INDEX(Table1[Unit],newestIdRow-offset+A19-1))</f>
        <v/>
      </c>
      <c r="D19" s="47" t="str">
        <f ca="1">IF(A19&gt;jumlahBarang,"",IF(INDEX(Table1[C],newestIdRow-offset+A19-1)="","",INDEX(Table1[C],newestIdRow-offset+A19-1)))</f>
        <v/>
      </c>
      <c r="E19" s="48" t="str">
        <f ca="1">IF(A19&gt;jumlahBarang,"",INDEX(Table1[Item Description],newestIdRow-offset+A19-1))</f>
        <v/>
      </c>
      <c r="F19" s="49"/>
      <c r="G19" s="50"/>
      <c r="H19" s="51" t="str">
        <f ca="1">IF(A19&gt;jumlahBarang,"",INDEX(Table1[Unit Price],newestIdRow-offset+A19-1))</f>
        <v/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 t="str">
        <f ca="1">IF(A20&gt;jumlahBarang,"",INDEX(Table1[Qty],newestIdRow-offset+A20-1))</f>
        <v/>
      </c>
      <c r="C20" s="46" t="str">
        <f ca="1">IF(A20&gt;jumlahBarang,"",INDEX(Table1[Unit],newestIdRow-offset+A20-1))</f>
        <v/>
      </c>
      <c r="D20" s="47" t="str">
        <f ca="1">IF(A20&gt;jumlahBarang,"",IF(INDEX(Table1[C],newestIdRow-offset+A20-1)="","",INDEX(Table1[C],newestIdRow-offset+A20-1)))</f>
        <v/>
      </c>
      <c r="E20" s="48" t="str">
        <f ca="1">IF(A20&gt;jumlahBarang,"",INDEX(Table1[Item Description],newestIdRow-offset+A20-1))</f>
        <v/>
      </c>
      <c r="F20" s="49"/>
      <c r="G20" s="50"/>
      <c r="H20" s="51" t="str">
        <f ca="1">IF(A20&gt;jumlahBarang,"",INDEX(Table1[Unit Price],newestIdRow-offset+A20-1))</f>
        <v/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 t="str">
        <f ca="1">IF(A21&gt;jumlahBarang,"",INDEX(Table1[Qty],newestIdRow-offset+A21-1))</f>
        <v/>
      </c>
      <c r="C21" s="46" t="str">
        <f ca="1">IF(A21&gt;jumlahBarang,"",INDEX(Table1[Unit],newestIdRow-offset+A21-1))</f>
        <v/>
      </c>
      <c r="D21" s="47" t="str">
        <f ca="1">IF(A21&gt;jumlahBarang,"",IF(INDEX(Table1[C],newestIdRow-offset+A21-1)="","",INDEX(Table1[C],newestIdRow-offset+A21-1)))</f>
        <v/>
      </c>
      <c r="E21" s="48" t="str">
        <f ca="1">IF(A21&gt;jumlahBarang,"",INDEX(Table1[Item Description],newestIdRow-offset+A21-1))</f>
        <v/>
      </c>
      <c r="F21" s="49"/>
      <c r="G21" s="50"/>
      <c r="H21" s="51" t="str">
        <f ca="1">IF(A21&gt;jumlahBarang,"",INDEX(Table1[Unit Price],newestIdRow-offset+A21-1))</f>
        <v/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 t="str">
        <f ca="1">IF(A22&gt;jumlahBarang,"",INDEX(Table1[Qty],newestIdRow-offset+A22-1))</f>
        <v/>
      </c>
      <c r="C22" s="46" t="str">
        <f ca="1">IF(A22&gt;jumlahBarang,"",INDEX(Table1[Unit],newestIdRow-offset+A22-1))</f>
        <v/>
      </c>
      <c r="D22" s="47" t="str">
        <f ca="1">IF(A22&gt;jumlahBarang,"",IF(INDEX(Table1[C],newestIdRow-offset+A22-1)="","",INDEX(Table1[C],newestIdRow-offset+A22-1)))</f>
        <v/>
      </c>
      <c r="E22" s="48" t="str">
        <f ca="1">IF(A22&gt;jumlahBarang,"",INDEX(Table1[Item Description],newestIdRow-offset+A22-1))</f>
        <v/>
      </c>
      <c r="F22" s="49"/>
      <c r="G22" s="50"/>
      <c r="H22" s="51" t="str">
        <f ca="1">IF(A22&gt;jumlahBarang,"",INDEX(Table1[Unit Price],newestIdRow-offset+A22-1))</f>
        <v/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 t="str">
        <f ca="1">IF(A23&gt;jumlahBarang,"",INDEX(Table1[Qty],newestIdRow-offset+A23-1))</f>
        <v/>
      </c>
      <c r="C23" s="46" t="str">
        <f ca="1">IF(A23&gt;jumlahBarang,"",INDEX(Table1[Unit],newestIdRow-offset+A23-1))</f>
        <v/>
      </c>
      <c r="D23" s="47" t="str">
        <f ca="1">IF(A23&gt;jumlahBarang,"",IF(INDEX(Table1[C],newestIdRow-offset+A23-1)="","",INDEX(Table1[C],newestIdRow-offset+A23-1)))</f>
        <v/>
      </c>
      <c r="E23" s="48" t="str">
        <f ca="1">IF(A23&gt;jumlahBarang,"",INDEX(Table1[Item Description],newestIdRow-offset+A23-1))</f>
        <v/>
      </c>
      <c r="F23" s="49"/>
      <c r="G23" s="50"/>
      <c r="H23" s="51" t="str">
        <f ca="1">IF(A23&gt;jumlahBarang,"",INDEX(Table1[Unit Price],newestIdRow-offset+A23-1))</f>
        <v/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 t="str">
        <f ca="1">IF(A24&gt;jumlahBarang,"",INDEX(Table1[Qty],newestIdRow-offset+A24-1))</f>
        <v/>
      </c>
      <c r="C24" s="46" t="str">
        <f ca="1">IF(A24&gt;jumlahBarang,"",INDEX(Table1[Unit],newestIdRow-offset+A24-1))</f>
        <v/>
      </c>
      <c r="D24" s="47" t="str">
        <f ca="1">IF(A24&gt;jumlahBarang,"",IF(INDEX(Table1[C],newestIdRow-offset+A24-1)="","",INDEX(Table1[C],newestIdRow-offset+A24-1)))</f>
        <v/>
      </c>
      <c r="E24" s="48" t="str">
        <f ca="1">IF(A24&gt;jumlahBarang,"",INDEX(Table1[Item Description],newestIdRow-offset+A24-1))</f>
        <v/>
      </c>
      <c r="F24" s="49"/>
      <c r="G24" s="50"/>
      <c r="H24" s="51" t="str">
        <f ca="1">IF(A24&gt;jumlahBarang,"",INDEX(Table1[Unit Price],newestIdRow-offset+A24-1))</f>
        <v/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 t="str">
        <f ca="1">IF(A25&gt;jumlahBarang,"",INDEX(Table1[Qty],newestIdRow-offset+A25-1))</f>
        <v/>
      </c>
      <c r="C25" s="46" t="str">
        <f ca="1">IF(A25&gt;jumlahBarang,"",INDEX(Table1[Unit],newestIdRow-offset+A25-1))</f>
        <v/>
      </c>
      <c r="D25" s="47" t="str">
        <f ca="1">IF(A25&gt;jumlahBarang,"",IF(INDEX(Table1[C],newestIdRow-offset+A25-1)="","",INDEX(Table1[C],newestIdRow-offset+A25-1)))</f>
        <v/>
      </c>
      <c r="E25" s="48" t="str">
        <f ca="1">IF(A25&gt;jumlahBarang,"",INDEX(Table1[Item Description],newestIdRow-offset+A25-1))</f>
        <v/>
      </c>
      <c r="F25" s="49"/>
      <c r="G25" s="50"/>
      <c r="H25" s="51" t="str">
        <f ca="1">IF(A25&gt;jumlahBarang,"",INDEX(Table1[Unit Price],newestIdRow-offset+A25-1))</f>
        <v/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 t="str">
        <f ca="1">IF(A26&gt;jumlahBarang,"",INDEX(Table1[Qty],newestIdRow-offset+A26-1))</f>
        <v/>
      </c>
      <c r="C26" s="46" t="str">
        <f ca="1">IF(A26&gt;jumlahBarang,"",INDEX(Table1[Unit],newestIdRow-offset+A26-1))</f>
        <v/>
      </c>
      <c r="D26" s="47" t="str">
        <f ca="1">IF(A26&gt;jumlahBarang,"",IF(INDEX(Table1[C],newestIdRow-offset+A26-1)="","",INDEX(Table1[C],newestIdRow-offset+A26-1)))</f>
        <v/>
      </c>
      <c r="E26" s="48" t="str">
        <f ca="1">IF(A26&gt;jumlahBarang,"",INDEX(Table1[Item Description],newestIdRow-offset+A26-1))</f>
        <v/>
      </c>
      <c r="F26" s="49"/>
      <c r="G26" s="50"/>
      <c r="H26" s="51" t="str">
        <f ca="1">IF(A26&gt;jumlahBarang,"",INDEX(Table1[Unit Price],newestIdRow-offset+A26-1))</f>
        <v/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11"/>
      <c r="K28" s="311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08">
        <f ca="1">INDEX(pajak[Sub Total],MATCH(newestIdRow,pajak[//],0))</f>
        <v>190920</v>
      </c>
      <c r="K29" s="309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10"/>
      <c r="K30" s="310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11"/>
      <c r="K32" s="311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08">
        <f ca="1">INDEX(pajak[PPN 11%],MATCH(newestIdRow,pajak[//],0))</f>
        <v>18919.999999999996</v>
      </c>
      <c r="K33" s="309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11"/>
      <c r="K34" s="311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190920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06" t="str">
        <f>INDEX(pajak[pembuat nota],MATCH(newestIdRow,pajak[//],0))</f>
        <v>RISMA / CONDRO</v>
      </c>
      <c r="K37" s="307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06" t="str">
        <f>INDEX(pajak[edited],MATCH(newestIdRow,pajak[//],0))</f>
        <v/>
      </c>
      <c r="K38" s="307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23040013</v>
      </c>
      <c r="F41" s="210"/>
      <c r="G41" s="211" t="s">
        <v>16</v>
      </c>
      <c r="H41" s="325" t="str">
        <f>H3</f>
        <v>HARNOYO</v>
      </c>
      <c r="I41" s="325"/>
      <c r="J41" s="325"/>
      <c r="K41" s="326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29" t="s">
        <v>18</v>
      </c>
      <c r="G42" s="217"/>
      <c r="H42" s="327"/>
      <c r="I42" s="327"/>
      <c r="J42" s="327"/>
      <c r="K42" s="328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30">
        <f>D5</f>
        <v>45026</v>
      </c>
      <c r="E43" s="331"/>
      <c r="F43" s="329"/>
      <c r="G43" s="218"/>
      <c r="H43" s="332" t="str">
        <f>H5</f>
        <v>(BENDAN)</v>
      </c>
      <c r="I43" s="332"/>
      <c r="J43" s="332"/>
      <c r="K43" s="333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29"/>
      <c r="G44" s="218"/>
      <c r="H44" s="334" t="str">
        <f>H6</f>
        <v>PEKALONGAN</v>
      </c>
      <c r="I44" s="334"/>
      <c r="J44" s="334"/>
      <c r="K44" s="335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KO 1464</v>
      </c>
      <c r="E45" s="209"/>
      <c r="F45" s="222"/>
      <c r="G45" s="223"/>
      <c r="H45" s="336"/>
      <c r="I45" s="336"/>
      <c r="J45" s="336"/>
      <c r="K45" s="337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60</v>
      </c>
      <c r="C49" s="249" t="str">
        <f t="shared" ca="1" si="0"/>
        <v>PCS</v>
      </c>
      <c r="D49" s="250" t="str">
        <f t="shared" ca="1" si="0"/>
        <v/>
      </c>
      <c r="E49" s="251" t="str">
        <f t="shared" ca="1" si="0"/>
        <v>HIGHLIGHTER / STABILLO JOYKO HL MIX (kuning, hijau)</v>
      </c>
      <c r="F49" s="252"/>
      <c r="G49" s="253"/>
      <c r="H49" s="254">
        <f t="shared" ref="H49:K64" ca="1" si="1">H11</f>
        <v>3700</v>
      </c>
      <c r="I49" s="255">
        <f t="shared" ca="1" si="1"/>
        <v>0.14000000000000001</v>
      </c>
      <c r="J49" s="255" t="str">
        <f t="shared" ca="1" si="1"/>
        <v/>
      </c>
      <c r="K49" s="256">
        <f t="shared" ca="1" si="1"/>
        <v>190920</v>
      </c>
      <c r="L49" s="238"/>
    </row>
    <row r="50" spans="1:12" s="10" customFormat="1" ht="14.1" customHeight="1" x14ac:dyDescent="0.25">
      <c r="A50" s="247">
        <v>2</v>
      </c>
      <c r="B50" s="248" t="str">
        <f t="shared" ca="1" si="0"/>
        <v/>
      </c>
      <c r="C50" s="249" t="str">
        <f t="shared" ca="1" si="0"/>
        <v/>
      </c>
      <c r="D50" s="250" t="str">
        <f t="shared" ca="1" si="0"/>
        <v/>
      </c>
      <c r="E50" s="251" t="str">
        <f t="shared" ca="1" si="0"/>
        <v/>
      </c>
      <c r="F50" s="252"/>
      <c r="G50" s="253"/>
      <c r="H50" s="254" t="str">
        <f t="shared" ca="1" si="1"/>
        <v/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 t="str">
        <f t="shared" ca="1" si="0"/>
        <v/>
      </c>
      <c r="C51" s="249" t="str">
        <f t="shared" ca="1" si="0"/>
        <v/>
      </c>
      <c r="D51" s="250" t="str">
        <f t="shared" ca="1" si="0"/>
        <v/>
      </c>
      <c r="E51" s="251" t="str">
        <f t="shared" ca="1" si="0"/>
        <v/>
      </c>
      <c r="F51" s="252"/>
      <c r="G51" s="253"/>
      <c r="H51" s="254" t="str">
        <f t="shared" ca="1" si="1"/>
        <v/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 t="str">
        <f t="shared" ca="1" si="0"/>
        <v/>
      </c>
      <c r="C52" s="249" t="str">
        <f t="shared" ca="1" si="0"/>
        <v/>
      </c>
      <c r="D52" s="250" t="str">
        <f t="shared" ca="1" si="0"/>
        <v/>
      </c>
      <c r="E52" s="251" t="str">
        <f t="shared" ca="1" si="0"/>
        <v/>
      </c>
      <c r="F52" s="252"/>
      <c r="G52" s="253"/>
      <c r="H52" s="254" t="str">
        <f t="shared" ca="1" si="1"/>
        <v/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 t="str">
        <f t="shared" ca="1" si="0"/>
        <v/>
      </c>
      <c r="C53" s="249" t="str">
        <f t="shared" ca="1" si="0"/>
        <v/>
      </c>
      <c r="D53" s="250" t="str">
        <f t="shared" ca="1" si="0"/>
        <v/>
      </c>
      <c r="E53" s="251" t="str">
        <f t="shared" ca="1" si="0"/>
        <v/>
      </c>
      <c r="F53" s="252"/>
      <c r="G53" s="253"/>
      <c r="H53" s="254" t="str">
        <f t="shared" ca="1" si="1"/>
        <v/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 t="str">
        <f t="shared" ca="1" si="0"/>
        <v/>
      </c>
      <c r="C54" s="249" t="str">
        <f t="shared" ca="1" si="0"/>
        <v/>
      </c>
      <c r="D54" s="250" t="str">
        <f t="shared" ca="1" si="0"/>
        <v/>
      </c>
      <c r="E54" s="251" t="str">
        <f t="shared" ca="1" si="0"/>
        <v/>
      </c>
      <c r="F54" s="252"/>
      <c r="G54" s="253"/>
      <c r="H54" s="254" t="str">
        <f t="shared" ca="1" si="1"/>
        <v/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 t="str">
        <f t="shared" ca="1" si="0"/>
        <v/>
      </c>
      <c r="C55" s="249" t="str">
        <f t="shared" ca="1" si="0"/>
        <v/>
      </c>
      <c r="D55" s="250" t="str">
        <f t="shared" ca="1" si="0"/>
        <v/>
      </c>
      <c r="E55" s="251" t="str">
        <f t="shared" ca="1" si="0"/>
        <v/>
      </c>
      <c r="F55" s="252"/>
      <c r="G55" s="253"/>
      <c r="H55" s="254" t="str">
        <f t="shared" ca="1" si="1"/>
        <v/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 t="str">
        <f t="shared" ca="1" si="0"/>
        <v/>
      </c>
      <c r="C56" s="249" t="str">
        <f t="shared" ca="1" si="0"/>
        <v/>
      </c>
      <c r="D56" s="250" t="str">
        <f t="shared" ca="1" si="0"/>
        <v/>
      </c>
      <c r="E56" s="251" t="str">
        <f t="shared" ca="1" si="0"/>
        <v/>
      </c>
      <c r="F56" s="252"/>
      <c r="G56" s="253"/>
      <c r="H56" s="254" t="str">
        <f t="shared" ca="1" si="1"/>
        <v/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 t="str">
        <f t="shared" ca="1" si="0"/>
        <v/>
      </c>
      <c r="C57" s="249" t="str">
        <f t="shared" ca="1" si="0"/>
        <v/>
      </c>
      <c r="D57" s="250" t="str">
        <f t="shared" ca="1" si="0"/>
        <v/>
      </c>
      <c r="E57" s="251" t="str">
        <f t="shared" ca="1" si="0"/>
        <v/>
      </c>
      <c r="F57" s="252"/>
      <c r="G57" s="253"/>
      <c r="H57" s="254" t="str">
        <f t="shared" ca="1" si="1"/>
        <v/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 t="str">
        <f t="shared" ca="1" si="0"/>
        <v/>
      </c>
      <c r="C58" s="249" t="str">
        <f t="shared" ca="1" si="0"/>
        <v/>
      </c>
      <c r="D58" s="250" t="str">
        <f t="shared" ca="1" si="0"/>
        <v/>
      </c>
      <c r="E58" s="251" t="str">
        <f t="shared" ca="1" si="0"/>
        <v/>
      </c>
      <c r="F58" s="252"/>
      <c r="G58" s="253"/>
      <c r="H58" s="254" t="str">
        <f t="shared" ca="1" si="1"/>
        <v/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 t="str">
        <f t="shared" ca="1" si="0"/>
        <v/>
      </c>
      <c r="C59" s="249" t="str">
        <f t="shared" ca="1" si="0"/>
        <v/>
      </c>
      <c r="D59" s="250" t="str">
        <f t="shared" ca="1" si="0"/>
        <v/>
      </c>
      <c r="E59" s="251" t="str">
        <f t="shared" ca="1" si="0"/>
        <v/>
      </c>
      <c r="F59" s="252"/>
      <c r="G59" s="253"/>
      <c r="H59" s="254" t="str">
        <f t="shared" ca="1" si="1"/>
        <v/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 t="str">
        <f t="shared" ca="1" si="0"/>
        <v/>
      </c>
      <c r="C60" s="249" t="str">
        <f t="shared" ca="1" si="0"/>
        <v/>
      </c>
      <c r="D60" s="250" t="str">
        <f t="shared" ca="1" si="0"/>
        <v/>
      </c>
      <c r="E60" s="251" t="str">
        <f t="shared" ca="1" si="0"/>
        <v/>
      </c>
      <c r="F60" s="252"/>
      <c r="G60" s="253"/>
      <c r="H60" s="254" t="str">
        <f t="shared" ca="1" si="1"/>
        <v/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 t="str">
        <f t="shared" ca="1" si="0"/>
        <v/>
      </c>
      <c r="C61" s="249" t="str">
        <f t="shared" ca="1" si="0"/>
        <v/>
      </c>
      <c r="D61" s="250" t="str">
        <f t="shared" ca="1" si="0"/>
        <v/>
      </c>
      <c r="E61" s="251" t="str">
        <f t="shared" ca="1" si="0"/>
        <v/>
      </c>
      <c r="F61" s="252"/>
      <c r="G61" s="253"/>
      <c r="H61" s="254" t="str">
        <f t="shared" ca="1" si="1"/>
        <v/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 t="str">
        <f t="shared" ca="1" si="0"/>
        <v/>
      </c>
      <c r="C62" s="249" t="str">
        <f t="shared" ca="1" si="0"/>
        <v/>
      </c>
      <c r="D62" s="250" t="str">
        <f t="shared" ca="1" si="0"/>
        <v/>
      </c>
      <c r="E62" s="251" t="str">
        <f t="shared" ca="1" si="0"/>
        <v/>
      </c>
      <c r="F62" s="252"/>
      <c r="G62" s="253"/>
      <c r="H62" s="254" t="str">
        <f t="shared" ca="1" si="1"/>
        <v/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 t="str">
        <f t="shared" ca="1" si="0"/>
        <v/>
      </c>
      <c r="C63" s="249" t="str">
        <f t="shared" ca="1" si="0"/>
        <v/>
      </c>
      <c r="D63" s="250" t="str">
        <f t="shared" ca="1" si="0"/>
        <v/>
      </c>
      <c r="E63" s="251" t="str">
        <f t="shared" ca="1" si="0"/>
        <v/>
      </c>
      <c r="F63" s="252"/>
      <c r="G63" s="253"/>
      <c r="H63" s="254" t="str">
        <f t="shared" ca="1" si="1"/>
        <v/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 t="str">
        <f t="shared" ca="1" si="0"/>
        <v/>
      </c>
      <c r="C64" s="249" t="str">
        <f t="shared" ca="1" si="0"/>
        <v/>
      </c>
      <c r="D64" s="250" t="str">
        <f t="shared" ca="1" si="0"/>
        <v/>
      </c>
      <c r="E64" s="251" t="str">
        <f t="shared" ca="1" si="0"/>
        <v/>
      </c>
      <c r="F64" s="252"/>
      <c r="G64" s="253"/>
      <c r="H64" s="254" t="str">
        <f t="shared" ca="1" si="1"/>
        <v/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38"/>
      <c r="K66" s="338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39">
        <f ca="1">J29</f>
        <v>190920</v>
      </c>
      <c r="K67" s="340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41"/>
      <c r="K68" s="341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38"/>
      <c r="K70" s="338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39">
        <f ca="1">J33</f>
        <v>18919.999999999996</v>
      </c>
      <c r="K71" s="340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38"/>
      <c r="K72" s="338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190920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42" t="str">
        <f>J37</f>
        <v>RISMA / CONDRO</v>
      </c>
      <c r="K75" s="343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42">
        <v>0</v>
      </c>
      <c r="K76" s="343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23040013</v>
      </c>
      <c r="F79" s="110"/>
      <c r="G79" s="111" t="s">
        <v>16</v>
      </c>
      <c r="H79" s="344" t="str">
        <f>H41</f>
        <v>HARNOYO</v>
      </c>
      <c r="I79" s="344"/>
      <c r="J79" s="344"/>
      <c r="K79" s="345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48" t="s">
        <v>18</v>
      </c>
      <c r="G80" s="117"/>
      <c r="H80" s="346"/>
      <c r="I80" s="346"/>
      <c r="J80" s="346"/>
      <c r="K80" s="347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49">
        <f>D43</f>
        <v>45026</v>
      </c>
      <c r="E81" s="350"/>
      <c r="F81" s="348"/>
      <c r="G81" s="118"/>
      <c r="H81" s="351" t="str">
        <f>H43</f>
        <v>(BENDAN)</v>
      </c>
      <c r="I81" s="351"/>
      <c r="J81" s="351"/>
      <c r="K81" s="352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48"/>
      <c r="G82" s="118"/>
      <c r="H82" s="353" t="str">
        <f>H44</f>
        <v>PEKALONGAN</v>
      </c>
      <c r="I82" s="353"/>
      <c r="J82" s="353"/>
      <c r="K82" s="354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KO 1464</v>
      </c>
      <c r="E83" s="109"/>
      <c r="F83" s="122"/>
      <c r="G83" s="123"/>
      <c r="H83" s="355"/>
      <c r="I83" s="355"/>
      <c r="J83" s="355"/>
      <c r="K83" s="356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60</v>
      </c>
      <c r="C87" s="149" t="str">
        <f t="shared" ca="1" si="2"/>
        <v>PCS</v>
      </c>
      <c r="D87" s="150" t="str">
        <f t="shared" ca="1" si="2"/>
        <v/>
      </c>
      <c r="E87" s="151" t="str">
        <f t="shared" ca="1" si="2"/>
        <v>HIGHLIGHTER / STABILLO JOYKO HL MIX (kuning, hijau)</v>
      </c>
      <c r="F87" s="152"/>
      <c r="G87" s="153"/>
      <c r="H87" s="154">
        <f t="shared" ref="H87:K102" ca="1" si="3">H49</f>
        <v>3700</v>
      </c>
      <c r="I87" s="155">
        <f t="shared" ca="1" si="3"/>
        <v>0.14000000000000001</v>
      </c>
      <c r="J87" s="155" t="str">
        <f t="shared" ca="1" si="3"/>
        <v/>
      </c>
      <c r="K87" s="156">
        <f t="shared" ca="1" si="3"/>
        <v>190920</v>
      </c>
      <c r="L87" s="138"/>
    </row>
    <row r="88" spans="1:12" s="10" customFormat="1" ht="14.1" customHeight="1" x14ac:dyDescent="0.25">
      <c r="A88" s="147">
        <v>2</v>
      </c>
      <c r="B88" s="148" t="str">
        <f t="shared" ca="1" si="2"/>
        <v/>
      </c>
      <c r="C88" s="149" t="str">
        <f t="shared" ca="1" si="2"/>
        <v/>
      </c>
      <c r="D88" s="150" t="str">
        <f t="shared" ca="1" si="2"/>
        <v/>
      </c>
      <c r="E88" s="151" t="str">
        <f t="shared" ca="1" si="2"/>
        <v/>
      </c>
      <c r="F88" s="152"/>
      <c r="G88" s="153"/>
      <c r="H88" s="154" t="str">
        <f t="shared" ca="1" si="3"/>
        <v/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 t="str">
        <f t="shared" ca="1" si="2"/>
        <v/>
      </c>
      <c r="C89" s="149" t="str">
        <f t="shared" ca="1" si="2"/>
        <v/>
      </c>
      <c r="D89" s="150" t="str">
        <f t="shared" ca="1" si="2"/>
        <v/>
      </c>
      <c r="E89" s="151" t="str">
        <f t="shared" ca="1" si="2"/>
        <v/>
      </c>
      <c r="F89" s="152"/>
      <c r="G89" s="153"/>
      <c r="H89" s="154" t="str">
        <f t="shared" ca="1" si="3"/>
        <v/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 t="str">
        <f t="shared" ca="1" si="2"/>
        <v/>
      </c>
      <c r="C90" s="149" t="str">
        <f t="shared" ca="1" si="2"/>
        <v/>
      </c>
      <c r="D90" s="150" t="str">
        <f t="shared" ca="1" si="2"/>
        <v/>
      </c>
      <c r="E90" s="151" t="str">
        <f t="shared" ca="1" si="2"/>
        <v/>
      </c>
      <c r="F90" s="152"/>
      <c r="G90" s="153"/>
      <c r="H90" s="154" t="str">
        <f t="shared" ca="1" si="3"/>
        <v/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 t="str">
        <f t="shared" ca="1" si="2"/>
        <v/>
      </c>
      <c r="C91" s="149" t="str">
        <f t="shared" ca="1" si="2"/>
        <v/>
      </c>
      <c r="D91" s="150" t="str">
        <f t="shared" ca="1" si="2"/>
        <v/>
      </c>
      <c r="E91" s="151" t="str">
        <f t="shared" ca="1" si="2"/>
        <v/>
      </c>
      <c r="F91" s="152"/>
      <c r="G91" s="153"/>
      <c r="H91" s="154" t="str">
        <f t="shared" ca="1" si="3"/>
        <v/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 t="str">
        <f t="shared" ca="1" si="2"/>
        <v/>
      </c>
      <c r="C92" s="149" t="str">
        <f t="shared" ca="1" si="2"/>
        <v/>
      </c>
      <c r="D92" s="150" t="str">
        <f t="shared" ca="1" si="2"/>
        <v/>
      </c>
      <c r="E92" s="151" t="str">
        <f t="shared" ca="1" si="2"/>
        <v/>
      </c>
      <c r="F92" s="152"/>
      <c r="G92" s="153"/>
      <c r="H92" s="154" t="str">
        <f t="shared" ca="1" si="3"/>
        <v/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 t="str">
        <f t="shared" ca="1" si="2"/>
        <v/>
      </c>
      <c r="C93" s="149" t="str">
        <f t="shared" ca="1" si="2"/>
        <v/>
      </c>
      <c r="D93" s="150" t="str">
        <f t="shared" ca="1" si="2"/>
        <v/>
      </c>
      <c r="E93" s="151" t="str">
        <f t="shared" ca="1" si="2"/>
        <v/>
      </c>
      <c r="F93" s="152"/>
      <c r="G93" s="153"/>
      <c r="H93" s="154" t="str">
        <f t="shared" ca="1" si="3"/>
        <v/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 t="str">
        <f t="shared" ca="1" si="2"/>
        <v/>
      </c>
      <c r="C94" s="149" t="str">
        <f t="shared" ca="1" si="2"/>
        <v/>
      </c>
      <c r="D94" s="150" t="str">
        <f t="shared" ca="1" si="2"/>
        <v/>
      </c>
      <c r="E94" s="151" t="str">
        <f t="shared" ca="1" si="2"/>
        <v/>
      </c>
      <c r="F94" s="152"/>
      <c r="G94" s="153"/>
      <c r="H94" s="154" t="str">
        <f t="shared" ca="1" si="3"/>
        <v/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 t="str">
        <f t="shared" ca="1" si="2"/>
        <v/>
      </c>
      <c r="C95" s="149" t="str">
        <f t="shared" ca="1" si="2"/>
        <v/>
      </c>
      <c r="D95" s="150" t="str">
        <f t="shared" ca="1" si="2"/>
        <v/>
      </c>
      <c r="E95" s="151" t="str">
        <f t="shared" ca="1" si="2"/>
        <v/>
      </c>
      <c r="F95" s="152"/>
      <c r="G95" s="153"/>
      <c r="H95" s="154" t="str">
        <f t="shared" ca="1" si="3"/>
        <v/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 t="str">
        <f t="shared" ca="1" si="2"/>
        <v/>
      </c>
      <c r="C96" s="149" t="str">
        <f t="shared" ca="1" si="2"/>
        <v/>
      </c>
      <c r="D96" s="150" t="str">
        <f t="shared" ca="1" si="2"/>
        <v/>
      </c>
      <c r="E96" s="151" t="str">
        <f t="shared" ca="1" si="2"/>
        <v/>
      </c>
      <c r="F96" s="152"/>
      <c r="G96" s="153"/>
      <c r="H96" s="154" t="str">
        <f t="shared" ca="1" si="3"/>
        <v/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 t="str">
        <f t="shared" ca="1" si="2"/>
        <v/>
      </c>
      <c r="C97" s="149" t="str">
        <f t="shared" ca="1" si="2"/>
        <v/>
      </c>
      <c r="D97" s="150" t="str">
        <f t="shared" ca="1" si="2"/>
        <v/>
      </c>
      <c r="E97" s="151" t="str">
        <f t="shared" ca="1" si="2"/>
        <v/>
      </c>
      <c r="F97" s="152"/>
      <c r="G97" s="153"/>
      <c r="H97" s="154" t="str">
        <f t="shared" ca="1" si="3"/>
        <v/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 t="str">
        <f t="shared" ca="1" si="2"/>
        <v/>
      </c>
      <c r="C98" s="149" t="str">
        <f t="shared" ca="1" si="2"/>
        <v/>
      </c>
      <c r="D98" s="150" t="str">
        <f t="shared" ca="1" si="2"/>
        <v/>
      </c>
      <c r="E98" s="151" t="str">
        <f t="shared" ca="1" si="2"/>
        <v/>
      </c>
      <c r="F98" s="152"/>
      <c r="G98" s="153"/>
      <c r="H98" s="154" t="str">
        <f t="shared" ca="1" si="3"/>
        <v/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 t="str">
        <f t="shared" ca="1" si="2"/>
        <v/>
      </c>
      <c r="C99" s="149" t="str">
        <f t="shared" ca="1" si="2"/>
        <v/>
      </c>
      <c r="D99" s="150" t="str">
        <f t="shared" ca="1" si="2"/>
        <v/>
      </c>
      <c r="E99" s="151" t="str">
        <f t="shared" ca="1" si="2"/>
        <v/>
      </c>
      <c r="F99" s="152"/>
      <c r="G99" s="153"/>
      <c r="H99" s="154" t="str">
        <f t="shared" ca="1" si="3"/>
        <v/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 t="str">
        <f t="shared" ca="1" si="2"/>
        <v/>
      </c>
      <c r="C100" s="149" t="str">
        <f t="shared" ca="1" si="2"/>
        <v/>
      </c>
      <c r="D100" s="150" t="str">
        <f t="shared" ca="1" si="2"/>
        <v/>
      </c>
      <c r="E100" s="151" t="str">
        <f t="shared" ca="1" si="2"/>
        <v/>
      </c>
      <c r="F100" s="152"/>
      <c r="G100" s="153"/>
      <c r="H100" s="154" t="str">
        <f t="shared" ca="1" si="3"/>
        <v/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 t="str">
        <f t="shared" ca="1" si="2"/>
        <v/>
      </c>
      <c r="C101" s="149" t="str">
        <f t="shared" ca="1" si="2"/>
        <v/>
      </c>
      <c r="D101" s="150" t="str">
        <f t="shared" ca="1" si="2"/>
        <v/>
      </c>
      <c r="E101" s="151" t="str">
        <f t="shared" ca="1" si="2"/>
        <v/>
      </c>
      <c r="F101" s="152"/>
      <c r="G101" s="153"/>
      <c r="H101" s="154" t="str">
        <f t="shared" ca="1" si="3"/>
        <v/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 t="str">
        <f t="shared" ca="1" si="2"/>
        <v/>
      </c>
      <c r="C102" s="149" t="str">
        <f t="shared" ca="1" si="2"/>
        <v/>
      </c>
      <c r="D102" s="150" t="str">
        <f t="shared" ca="1" si="2"/>
        <v/>
      </c>
      <c r="E102" s="151" t="str">
        <f t="shared" ca="1" si="2"/>
        <v/>
      </c>
      <c r="F102" s="152"/>
      <c r="G102" s="153"/>
      <c r="H102" s="154" t="str">
        <f t="shared" ca="1" si="3"/>
        <v/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57"/>
      <c r="K104" s="357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58">
        <f ca="1">J67</f>
        <v>190920</v>
      </c>
      <c r="K105" s="359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62"/>
      <c r="K106" s="362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57"/>
      <c r="K108" s="357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58">
        <f ca="1">J71</f>
        <v>18919.999999999996</v>
      </c>
      <c r="K109" s="359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57"/>
      <c r="K110" s="357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190920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60" t="str">
        <f>J75</f>
        <v>RISMA / CONDRO</v>
      </c>
      <c r="K113" s="361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60">
        <v>0</v>
      </c>
      <c r="K114" s="361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workbookViewId="0">
      <selection activeCell="A18" sqref="A18"/>
    </sheetView>
  </sheetViews>
  <sheetFormatPr defaultRowHeight="15" x14ac:dyDescent="0.25"/>
  <cols>
    <col min="1" max="1" width="60.855468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150</v>
      </c>
      <c r="B3" s="88"/>
      <c r="C3" s="193">
        <f>MATCH(A3,Table1[H_A1],0)</f>
        <v>3</v>
      </c>
      <c r="D3" s="193">
        <f>MATCH(Table5[[#This Row],[NAMA]],[1]!db[NB PAJAK],0)</f>
        <v>89</v>
      </c>
      <c r="E3" t="str">
        <f>INDEX(Table1[Item Description],Table5[[#This Row],[//NOTA]])</f>
        <v>BALLPEN JOYKO BP-338 VOCUS HITAM</v>
      </c>
      <c r="F3">
        <f>SUMIF(Table1[H_A1],Sheet5!A3,Table1[Qty])</f>
        <v>288</v>
      </c>
      <c r="G3" t="str">
        <f>INDEX(Table1[Unit],Table5[[#This Row],[//NOTA]])</f>
        <v>LSN</v>
      </c>
      <c r="H3" s="195">
        <f>SUMIF(Table1[H_A1],Sheet5!A3,Table1[C])</f>
        <v>2</v>
      </c>
      <c r="I3" s="195">
        <f>INDEX(Table1[Unit Price],Table5[[#This Row],[//NOTA]])</f>
        <v>12600</v>
      </c>
      <c r="J3" s="86">
        <f>IF(Table5[[#This Row],[a2]]="","",Table5[[#This Row],[QTY]]*12)</f>
        <v>3456</v>
      </c>
      <c r="K3" s="86" t="str">
        <f>IF(Table5[[#This Row],[UNIT]]="grs","LSN",IF(Table5[[#This Row],[UNIT]]="LSN","PCS",""))</f>
        <v>PCS</v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169</v>
      </c>
      <c r="B4" s="88"/>
      <c r="C4" s="194">
        <f>MATCH(A4,Table1[H_A1],0)</f>
        <v>15</v>
      </c>
      <c r="D4" s="194">
        <f>MATCH(Table5[[#This Row],[NAMA]],[1]!db[NB PAJAK],0)</f>
        <v>449</v>
      </c>
      <c r="E4" t="str">
        <f>INDEX(Table1[Item Description],Table5[[#This Row],[//NOTA]])</f>
        <v>CALCULATOR JOYKO CC-800CH</v>
      </c>
      <c r="F4">
        <f>SUMIF(Table1[H_A1],Sheet5!A4,Table1[Qty])</f>
        <v>60</v>
      </c>
      <c r="G4" t="str">
        <f>INDEX(Table1[Unit],Table5[[#This Row],[//NOTA]])</f>
        <v>PCS</v>
      </c>
      <c r="H4" s="195">
        <f>SUMIF(Table1[H_A1],Sheet5!A4,Table1[C])</f>
        <v>1</v>
      </c>
      <c r="I4" s="195">
        <f>INDEX(Table1[Unit Price],Table5[[#This Row],[//NOTA]])</f>
        <v>79000</v>
      </c>
      <c r="J4" s="86" t="str">
        <f>IF(Table5[[#This Row],[a2]]="","",Table5[[#This Row],[QTY]]*12)</f>
        <v/>
      </c>
      <c r="K4" s="86" t="str">
        <f>IF(Table5[[#This Row],[UNIT]]="grs","LSN",IF(Table5[[#This Row],[UNIT]]="LSN","PCS",""))</f>
        <v/>
      </c>
      <c r="L4" s="86" t="str">
        <f>IF(Table5[[#This Row],[a2]]="LSN",Table5[[#This Row],[a1]]*12,"")</f>
        <v/>
      </c>
      <c r="M4" s="86" t="str">
        <f>IF(Table5[[#This Row],[b1]]="","","PCS")</f>
        <v/>
      </c>
      <c r="N4" s="86"/>
      <c r="O4" s="86"/>
    </row>
    <row r="5" spans="1:15" x14ac:dyDescent="0.25">
      <c r="A5" s="88" t="s">
        <v>218</v>
      </c>
      <c r="B5" s="88"/>
      <c r="C5" s="194">
        <f>MATCH(A5,Table1[H_A1],0)</f>
        <v>41</v>
      </c>
      <c r="D5" s="194">
        <f>MATCH(Table5[[#This Row],[NAMA]],[1]!db[NB PAJAK],0)</f>
        <v>1216</v>
      </c>
      <c r="E5" t="str">
        <f>INDEX(Table1[Item Description],Table5[[#This Row],[//NOTA]])</f>
        <v>COLOR BRUSH PEN KENKO DBP-12 DUAL TIP  (12 WARNA)</v>
      </c>
      <c r="F5">
        <f>SUMIF(Table1[H_A1],Sheet5!A5,Table1[Qty])</f>
        <v>12</v>
      </c>
      <c r="G5" t="str">
        <f>INDEX(Table1[Unit],Table5[[#This Row],[//NOTA]])</f>
        <v>SET</v>
      </c>
      <c r="H5" s="195">
        <f>SUMIF(Table1[H_A1],Sheet5!A5,Table1[C])</f>
        <v>0</v>
      </c>
      <c r="I5" s="195">
        <f>INDEX(Table1[Unit Price],Table5[[#This Row],[//NOTA]])</f>
        <v>25000</v>
      </c>
      <c r="J5" s="86" t="str">
        <f>IF(Table5[[#This Row],[a2]]="","",Table5[[#This Row],[QTY]]*12)</f>
        <v/>
      </c>
      <c r="K5" s="86" t="str">
        <f>IF(Table5[[#This Row],[UNIT]]="grs","LSN",IF(Table5[[#This Row],[UNIT]]="LSN","PCS",""))</f>
        <v/>
      </c>
      <c r="L5" s="86" t="str">
        <f>IF(Table5[[#This Row],[a2]]="LSN",Table5[[#This Row],[a1]]*12,"")</f>
        <v/>
      </c>
      <c r="M5" s="86" t="str">
        <f>IF(Table5[[#This Row],[b1]]="","","PCS")</f>
        <v/>
      </c>
      <c r="N5" s="86"/>
      <c r="O5" s="86"/>
    </row>
    <row r="6" spans="1:15" x14ac:dyDescent="0.25">
      <c r="A6" s="88" t="s">
        <v>151</v>
      </c>
      <c r="B6" s="88"/>
      <c r="C6" s="194">
        <f>MATCH(A6,Table1[H_A1],0)</f>
        <v>5</v>
      </c>
      <c r="D6" s="194">
        <f>MATCH(Table5[[#This Row],[NAMA]],[1]!db[NB PAJAK],0)</f>
        <v>1169</v>
      </c>
      <c r="E6" t="str">
        <f>INDEX(Table1[Item Description],Table5[[#This Row],[//NOTA]])</f>
        <v>CORRECTION FLUID KENKO KE-01</v>
      </c>
      <c r="F6">
        <f>SUMIF(Table1[H_A1],Sheet5!A6,Table1[Qty])</f>
        <v>216</v>
      </c>
      <c r="G6" t="str">
        <f>INDEX(Table1[Unit],Table5[[#This Row],[//NOTA]])</f>
        <v>LSN</v>
      </c>
      <c r="H6" s="195">
        <f>SUMIF(Table1[H_A1],Sheet5!A6,Table1[C])</f>
        <v>3</v>
      </c>
      <c r="I6" s="195">
        <f>INDEX(Table1[Unit Price],Table5[[#This Row],[//NOTA]])</f>
        <v>54300</v>
      </c>
      <c r="J6" s="86">
        <f>IF(Table5[[#This Row],[a2]]="","",Table5[[#This Row],[QTY]]*12)</f>
        <v>2592</v>
      </c>
      <c r="K6" s="86" t="str">
        <f>IF(Table5[[#This Row],[UNIT]]="grs","LSN",IF(Table5[[#This Row],[UNIT]]="LSN","PCS",""))</f>
        <v>PCS</v>
      </c>
      <c r="L6" s="86" t="str">
        <f>IF(Table5[[#This Row],[a2]]="LSN",Table5[[#This Row],[a1]]*12,"")</f>
        <v/>
      </c>
      <c r="M6" s="86" t="str">
        <f>IF(Table5[[#This Row],[b1]]="","","PCS")</f>
        <v/>
      </c>
      <c r="N6" s="86"/>
      <c r="O6" s="86"/>
    </row>
    <row r="7" spans="1:15" x14ac:dyDescent="0.25">
      <c r="A7" s="88" t="s">
        <v>199</v>
      </c>
      <c r="B7" s="88"/>
      <c r="C7" s="194">
        <f>MATCH(A7,Table1[H_A1],0)</f>
        <v>21</v>
      </c>
      <c r="D7" s="194">
        <f>MATCH(Table5[[#This Row],[NAMA]],[1]!db[NB PAJAK],0)</f>
        <v>547</v>
      </c>
      <c r="E7" t="str">
        <f>INDEX(Table1[Item Description],Table5[[#This Row],[//NOTA]])</f>
        <v>CORRECTION TAPE JOYKO CT-507</v>
      </c>
      <c r="F7">
        <f>SUMIF(Table1[H_A1],Sheet5!A7,Table1[Qty])</f>
        <v>60</v>
      </c>
      <c r="G7" t="str">
        <f>INDEX(Table1[Unit],Table5[[#This Row],[//NOTA]])</f>
        <v>LSN</v>
      </c>
      <c r="H7" s="195">
        <f>SUMIF(Table1[H_A1],Sheet5!A7,Table1[C])</f>
        <v>1</v>
      </c>
      <c r="I7" s="195">
        <f>INDEX(Table1[Unit Price],Table5[[#This Row],[//NOTA]])</f>
        <v>55200</v>
      </c>
      <c r="J7" s="86">
        <f>IF(Table5[[#This Row],[a2]]="","",Table5[[#This Row],[QTY]]*12)</f>
        <v>720</v>
      </c>
      <c r="K7" s="86" t="str">
        <f>IF(Table5[[#This Row],[UNIT]]="grs","LSN",IF(Table5[[#This Row],[UNIT]]="LSN","PCS",""))</f>
        <v>PCS</v>
      </c>
      <c r="L7" s="86" t="str">
        <f>IF(Table5[[#This Row],[a2]]="LSN",Table5[[#This Row],[a1]]*12,"")</f>
        <v/>
      </c>
      <c r="M7" s="86" t="str">
        <f>IF(Table5[[#This Row],[b1]]="","","PCS")</f>
        <v/>
      </c>
      <c r="N7" s="86"/>
      <c r="O7" s="86"/>
    </row>
    <row r="8" spans="1:15" x14ac:dyDescent="0.25">
      <c r="A8" s="88" t="s">
        <v>200</v>
      </c>
      <c r="B8" s="88"/>
      <c r="C8" s="194">
        <f>MATCH(A8,Table1[H_A1],0)</f>
        <v>22</v>
      </c>
      <c r="D8" s="194">
        <f>MATCH(Table5[[#This Row],[NAMA]],[1]!db[NB PAJAK],0)</f>
        <v>548</v>
      </c>
      <c r="E8" t="str">
        <f>INDEX(Table1[Item Description],Table5[[#This Row],[//NOTA]])</f>
        <v>CORRECTION TAPE JOYKO CT-508</v>
      </c>
      <c r="F8">
        <f>SUMIF(Table1[H_A1],Sheet5!A8,Table1[Qty])</f>
        <v>60</v>
      </c>
      <c r="G8" t="str">
        <f>INDEX(Table1[Unit],Table5[[#This Row],[//NOTA]])</f>
        <v>LSN</v>
      </c>
      <c r="H8" s="195">
        <f>SUMIF(Table1[H_A1],Sheet5!A8,Table1[C])</f>
        <v>1</v>
      </c>
      <c r="I8" s="195">
        <f>INDEX(Table1[Unit Price],Table5[[#This Row],[//NOTA]])</f>
        <v>54000</v>
      </c>
      <c r="J8" s="86">
        <f>IF(Table5[[#This Row],[a2]]="","",Table5[[#This Row],[QTY]]*12)</f>
        <v>720</v>
      </c>
      <c r="K8" s="86" t="str">
        <f>IF(Table5[[#This Row],[UNIT]]="grs","LSN",IF(Table5[[#This Row],[UNIT]]="LSN","PCS",""))</f>
        <v>PCS</v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170</v>
      </c>
      <c r="B9" s="88"/>
      <c r="C9" s="194">
        <f>MATCH(A9,Table1[H_A1],0)</f>
        <v>14</v>
      </c>
      <c r="D9" s="194">
        <f>MATCH(Table5[[#This Row],[NAMA]],[1]!db[NB PAJAK],0)</f>
        <v>552</v>
      </c>
      <c r="E9" t="str">
        <f>INDEX(Table1[Item Description],Table5[[#This Row],[//NOTA]])</f>
        <v>CORRECTION TAPE JOYKO CT-522</v>
      </c>
      <c r="F9">
        <f>SUMIF(Table1[H_A1],Sheet5!A9,Table1[Qty])</f>
        <v>720</v>
      </c>
      <c r="G9" t="str">
        <f>INDEX(Table1[Unit],Table5[[#This Row],[//NOTA]])</f>
        <v>PCS</v>
      </c>
      <c r="H9" s="195">
        <f>SUMIF(Table1[H_A1],Sheet5!A9,Table1[C])</f>
        <v>1</v>
      </c>
      <c r="I9" s="195">
        <f>INDEX(Table1[Unit Price],Table5[[#This Row],[//NOTA]])</f>
        <v>4800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238</v>
      </c>
      <c r="B10" s="88"/>
      <c r="C10" s="194">
        <f>MATCH(A10,Table1[H_A1],0)</f>
        <v>44</v>
      </c>
      <c r="D10" s="194">
        <f>MATCH(Table5[[#This Row],[NAMA]],[1]!db[NB PAJAK],0)</f>
        <v>1185</v>
      </c>
      <c r="E10" t="str">
        <f>INDEX(Table1[Item Description],Table5[[#This Row],[//NOTA]])</f>
        <v>CORRECTION TAPE KENKO CT-606 (6M x 5MM)</v>
      </c>
      <c r="F10">
        <f>SUMIF(Table1[H_A1],Sheet5!A10,Table1[Qty])</f>
        <v>5</v>
      </c>
      <c r="G10" t="str">
        <f>INDEX(Table1[Unit],Table5[[#This Row],[//NOTA]])</f>
        <v>LSN</v>
      </c>
      <c r="H10" s="195">
        <f>SUMIF(Table1[H_A1],Sheet5!A10,Table1[C])</f>
        <v>0</v>
      </c>
      <c r="I10" s="195">
        <f>INDEX(Table1[Unit Price],Table5[[#This Row],[//NOTA]])</f>
        <v>58800</v>
      </c>
      <c r="J10" s="86">
        <f>IF(Table5[[#This Row],[a2]]="","",Table5[[#This Row],[QTY]]*12)</f>
        <v>60</v>
      </c>
      <c r="K10" s="86" t="str">
        <f>IF(Table5[[#This Row],[UNIT]]="grs","LSN",IF(Table5[[#This Row],[UNIT]]="LSN","PCS",""))</f>
        <v>PCS</v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181</v>
      </c>
      <c r="B11" s="88"/>
      <c r="C11" s="194">
        <f>MATCH(A11,Table1[H_A1],0)</f>
        <v>19</v>
      </c>
      <c r="D11" s="194">
        <f>MATCH(Table5[[#This Row],[NAMA]],[1]!db[NB PAJAK],0)</f>
        <v>1664</v>
      </c>
      <c r="E11" t="str">
        <f>INDEX(Table1[Item Description],Table5[[#This Row],[//NOTA]])</f>
        <v>CRAYON / OIL PASTEL JOYKO OP-12S PP CASE SEA WORLD</v>
      </c>
      <c r="F11">
        <f>SUMIF(Table1[H_A1],Sheet5!A11,Table1[Qty])</f>
        <v>1440</v>
      </c>
      <c r="G11" t="str">
        <f>INDEX(Table1[Unit],Table5[[#This Row],[//NOTA]])</f>
        <v>PCS</v>
      </c>
      <c r="H11" s="195">
        <f>SUMIF(Table1[H_A1],Sheet5!A11,Table1[C])</f>
        <v>10</v>
      </c>
      <c r="I11" s="195">
        <f>INDEX(Table1[Unit Price],Table5[[#This Row],[//NOTA]])</f>
        <v>11900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171</v>
      </c>
      <c r="B12" s="88"/>
      <c r="C12" s="194">
        <f>MATCH(A12,Table1[H_A1],0)</f>
        <v>13</v>
      </c>
      <c r="D12" s="194">
        <f>MATCH(Table5[[#This Row],[NAMA]],[1]!db[NB PAJAK],0)</f>
        <v>1666</v>
      </c>
      <c r="E12" t="str">
        <f>INDEX(Table1[Item Description],Table5[[#This Row],[//NOTA]])</f>
        <v>CRAYON / OIL PASTEL JOYKO OP-24S PP CASE SEA WORLD</v>
      </c>
      <c r="F12">
        <f>SUMIF(Table1[H_A1],Sheet5!A12,Table1[Qty])</f>
        <v>240</v>
      </c>
      <c r="G12" t="str">
        <f>INDEX(Table1[Unit],Table5[[#This Row],[//NOTA]])</f>
        <v>PCS</v>
      </c>
      <c r="H12" s="195">
        <f>SUMIF(Table1[H_A1],Sheet5!A12,Table1[C])</f>
        <v>5</v>
      </c>
      <c r="I12" s="195">
        <f>INDEX(Table1[Unit Price],Table5[[#This Row],[//NOTA]])</f>
        <v>29600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161</v>
      </c>
      <c r="B13" s="88"/>
      <c r="C13" s="194">
        <f>MATCH(A13,Table1[H_A1],0)</f>
        <v>10</v>
      </c>
      <c r="D13" s="194">
        <f>MATCH(Table5[[#This Row],[NAMA]],[1]!db[NB PAJAK],0)</f>
        <v>2303</v>
      </c>
      <c r="E13" t="str">
        <f>INDEX(Table1[Item Description],Table5[[#This Row],[//NOTA]])</f>
        <v>GEL PEN JOYKO GP-265 Q-GEL</v>
      </c>
      <c r="F13">
        <f>SUMIF(Table1[H_A1],Sheet5!A13,Table1[Qty])</f>
        <v>144</v>
      </c>
      <c r="G13" t="str">
        <f>INDEX(Table1[Unit],Table5[[#This Row],[//NOTA]])</f>
        <v>LSN</v>
      </c>
      <c r="H13" s="195">
        <f>SUMIF(Table1[H_A1],Sheet5!A13,Table1[C])</f>
        <v>1</v>
      </c>
      <c r="I13" s="195">
        <f>INDEX(Table1[Unit Price],Table5[[#This Row],[//NOTA]])</f>
        <v>28200</v>
      </c>
      <c r="J13" s="86">
        <f>IF(Table5[[#This Row],[a2]]="","",Table5[[#This Row],[QTY]]*12)</f>
        <v>1728</v>
      </c>
      <c r="K13" s="86" t="str">
        <f>IF(Table5[[#This Row],[UNIT]]="grs","LSN",IF(Table5[[#This Row],[UNIT]]="LSN","PCS",""))</f>
        <v>PCS</v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219</v>
      </c>
      <c r="B14" s="88"/>
      <c r="C14" s="194">
        <f>MATCH(A14,Table1[H_A1],0)</f>
        <v>38</v>
      </c>
      <c r="D14" s="194" t="e">
        <f>MATCH(Table5[[#This Row],[NAMA]],[1]!db[NB PAJAK],0)</f>
        <v>#N/A</v>
      </c>
      <c r="E14" t="str">
        <f>INDEX(Table1[Item Description],Table5[[#This Row],[//NOTA]])</f>
        <v>GEL PEN TIZO TG30801-EL</v>
      </c>
      <c r="F14">
        <f>SUMIF(Table1[H_A1],Sheet5!A14,Table1[Qty])</f>
        <v>7</v>
      </c>
      <c r="G14" t="str">
        <f>INDEX(Table1[Unit],Table5[[#This Row],[//NOTA]])</f>
        <v>LS</v>
      </c>
      <c r="H14" s="195">
        <f>SUMIF(Table1[H_A1],Sheet5!A14,Table1[C])</f>
        <v>0</v>
      </c>
      <c r="I14" s="195">
        <f>INDEX(Table1[Unit Price],Table5[[#This Row],[//NOTA]])</f>
        <v>18500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220</v>
      </c>
      <c r="B15" s="88"/>
      <c r="C15" s="194">
        <f>MATCH(A15,Table1[H_A1],0)</f>
        <v>39</v>
      </c>
      <c r="D15" s="194" t="e">
        <f>MATCH(Table5[[#This Row],[NAMA]],[1]!db[NB PAJAK],0)</f>
        <v>#N/A</v>
      </c>
      <c r="E15" t="str">
        <f>INDEX(Table1[Item Description],Table5[[#This Row],[//NOTA]])</f>
        <v>GEL PEN TIZO TG31590-EL</v>
      </c>
      <c r="F15">
        <f>SUMIF(Table1[H_A1],Sheet5!A15,Table1[Qty])</f>
        <v>12</v>
      </c>
      <c r="G15" t="str">
        <f>INDEX(Table1[Unit],Table5[[#This Row],[//NOTA]])</f>
        <v>LS</v>
      </c>
      <c r="H15" s="195">
        <f>SUMIF(Table1[H_A1],Sheet5!A15,Table1[C])</f>
        <v>0</v>
      </c>
      <c r="I15" s="195">
        <f>INDEX(Table1[Unit Price],Table5[[#This Row],[//NOTA]])</f>
        <v>18500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221</v>
      </c>
      <c r="B16" s="88"/>
      <c r="C16" s="194">
        <f>MATCH(A16,Table1[H_A1],0)</f>
        <v>40</v>
      </c>
      <c r="D16" s="194" t="e">
        <f>MATCH(Table5[[#This Row],[NAMA]],[1]!db[NB PAJAK],0)</f>
        <v>#N/A</v>
      </c>
      <c r="E16" t="str">
        <f>INDEX(Table1[Item Description],Table5[[#This Row],[//NOTA]])</f>
        <v>GEL PEN TIZO TG31762-EL</v>
      </c>
      <c r="F16">
        <f>SUMIF(Table1[H_A1],Sheet5!A16,Table1[Qty])</f>
        <v>2</v>
      </c>
      <c r="G16" t="str">
        <f>INDEX(Table1[Unit],Table5[[#This Row],[//NOTA]])</f>
        <v>LS</v>
      </c>
      <c r="H16" s="195">
        <f>SUMIF(Table1[H_A1],Sheet5!A16,Table1[C])</f>
        <v>0</v>
      </c>
      <c r="I16" s="195">
        <f>INDEX(Table1[Unit Price],Table5[[#This Row],[//NOTA]])</f>
        <v>18500</v>
      </c>
      <c r="J16" s="86" t="str">
        <f>IF(Table5[[#This Row],[a2]]="","",Table5[[#This Row],[QTY]]*12)</f>
        <v/>
      </c>
      <c r="K16" s="86" t="str">
        <f>IF(Table5[[#This Row],[UNIT]]="grs","LSN",IF(Table5[[#This Row],[UNIT]]="LSN","PCS",""))</f>
        <v/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248</v>
      </c>
      <c r="B17" s="88"/>
      <c r="C17" s="194">
        <f>MATCH(A17,Table1[H_A1],0)</f>
        <v>49</v>
      </c>
      <c r="D17" s="194" t="e">
        <f>MATCH(Table5[[#This Row],[NAMA]],[1]!db[NB PAJAK],0)</f>
        <v>#N/A</v>
      </c>
      <c r="E17" t="str">
        <f>INDEX(Table1[Item Description],Table5[[#This Row],[//NOTA]])</f>
        <v>HIGHLIGHTER / STABILLO JOYKO HL MIX (kuning, hijau)</v>
      </c>
      <c r="F17">
        <f>SUMIF(Table1[H_A1],Sheet5!A17,Table1[Qty])</f>
        <v>60</v>
      </c>
      <c r="G17" t="str">
        <f>INDEX(Table1[Unit],Table5[[#This Row],[//NOTA]])</f>
        <v>PCS</v>
      </c>
      <c r="H17" s="195">
        <f>SUMIF(Table1[H_A1],Sheet5!A17,Table1[C])</f>
        <v>0</v>
      </c>
      <c r="I17" s="195">
        <f>INDEX(Table1[Unit Price],Table5[[#This Row],[//NOTA]])</f>
        <v>3700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222</v>
      </c>
      <c r="B18" s="88"/>
      <c r="C18" s="194">
        <f>MATCH(A18,Table1[H_A1],0)</f>
        <v>37</v>
      </c>
      <c r="D18" s="194">
        <f>MATCH(Table5[[#This Row],[NAMA]],[1]!db[NB PAJAK],0)</f>
        <v>2115</v>
      </c>
      <c r="E18" t="str">
        <f>INDEX(Table1[Item Description],Table5[[#This Row],[//NOTA]])</f>
        <v>HIGHLIGHTER / STABILLO TIZO TF-610 (isi 54 pc)</v>
      </c>
      <c r="F18">
        <f>SUMIF(Table1[H_A1],Sheet5!A18,Table1[Qty])</f>
        <v>2</v>
      </c>
      <c r="G18" t="str">
        <f>INDEX(Table1[Unit],Table5[[#This Row],[//NOTA]])</f>
        <v>BOX</v>
      </c>
      <c r="H18" s="195">
        <f>SUMIF(Table1[H_A1],Sheet5!A18,Table1[C])</f>
        <v>0</v>
      </c>
      <c r="I18" s="195">
        <f>INDEX(Table1[Unit Price],Table5[[#This Row],[//NOTA]])</f>
        <v>122000</v>
      </c>
      <c r="J18" s="86" t="str">
        <f>IF(Table5[[#This Row],[a2]]="","",Table5[[#This Row],[QTY]]*12)</f>
        <v/>
      </c>
      <c r="K18" s="86" t="str">
        <f>IF(Table5[[#This Row],[UNIT]]="grs","LSN",IF(Table5[[#This Row],[UNIT]]="LSN","PCS",""))</f>
        <v/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223</v>
      </c>
      <c r="B19" s="88"/>
      <c r="C19" s="194">
        <f>MATCH(A19,Table1[H_A1],0)</f>
        <v>36</v>
      </c>
      <c r="D19" s="194">
        <f>MATCH(Table5[[#This Row],[NAMA]],[1]!db[NB PAJAK],0)</f>
        <v>1031</v>
      </c>
      <c r="E19" t="str">
        <f>INDEX(Table1[Item Description],Table5[[#This Row],[//NOTA]])</f>
        <v>HIGHLIGHTER / STABILLO TIZO TF-616 (isi 24 pc)</v>
      </c>
      <c r="F19">
        <f>SUMIF(Table1[H_A1],Sheet5!A19,Table1[Qty])</f>
        <v>2</v>
      </c>
      <c r="G19" t="str">
        <f>INDEX(Table1[Unit],Table5[[#This Row],[//NOTA]])</f>
        <v>BOX</v>
      </c>
      <c r="H19" s="195">
        <f>SUMIF(Table1[H_A1],Sheet5!A19,Table1[C])</f>
        <v>0</v>
      </c>
      <c r="I19" s="195">
        <f>INDEX(Table1[Unit Price],Table5[[#This Row],[//NOTA]])</f>
        <v>57000</v>
      </c>
      <c r="J19" s="86" t="str">
        <f>IF(Table5[[#This Row],[a2]]="","",Table5[[#This Row],[QTY]]*12)</f>
        <v/>
      </c>
      <c r="K19" s="86" t="str">
        <f>IF(Table5[[#This Row],[UNIT]]="grs","LSN",IF(Table5[[#This Row],[UNIT]]="LSN","PCS",""))</f>
        <v/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152</v>
      </c>
      <c r="B20" s="88"/>
      <c r="C20" s="194">
        <f>MATCH(A20,Table1[H_A1],0)</f>
        <v>8</v>
      </c>
      <c r="D20" s="194">
        <f>MATCH(Table5[[#This Row],[NAMA]],[1]!db[NB PAJAK],0)</f>
        <v>1275</v>
      </c>
      <c r="E20" t="str">
        <f>INDEX(Table1[Item Description],Table5[[#This Row],[//NOTA]])</f>
        <v>HIGHLIGHTER / STABILO KENKO HL-100 HIJAU</v>
      </c>
      <c r="F20">
        <f>SUMIF(Table1[H_A1],Sheet5!A20,Table1[Qty])</f>
        <v>480</v>
      </c>
      <c r="G20" t="str">
        <f>INDEX(Table1[Unit],Table5[[#This Row],[//NOTA]])</f>
        <v>PCS</v>
      </c>
      <c r="H20" s="195">
        <f>SUMIF(Table1[H_A1],Sheet5!A20,Table1[C])</f>
        <v>1</v>
      </c>
      <c r="I20" s="195">
        <f>INDEX(Table1[Unit Price],Table5[[#This Row],[//NOTA]])</f>
        <v>3050</v>
      </c>
      <c r="J20" s="86" t="str">
        <f>IF(Table5[[#This Row],[a2]]="","",Table5[[#This Row],[QTY]]*12)</f>
        <v/>
      </c>
      <c r="K20" s="86" t="str">
        <f>IF(Table5[[#This Row],[UNIT]]="grs","LSN",IF(Table5[[#This Row],[UNIT]]="LSN","PCS",""))</f>
        <v/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153</v>
      </c>
      <c r="B21" s="88"/>
      <c r="C21" s="194">
        <f>MATCH(A21,Table1[H_A1],0)</f>
        <v>7</v>
      </c>
      <c r="D21" s="194">
        <f>MATCH(Table5[[#This Row],[NAMA]],[1]!db[NB PAJAK],0)</f>
        <v>1277</v>
      </c>
      <c r="E21" t="str">
        <f>INDEX(Table1[Item Description],Table5[[#This Row],[//NOTA]])</f>
        <v>HIGHLIGHTER / STABILO KENKO HL-100 PINK</v>
      </c>
      <c r="F21">
        <f>SUMIF(Table1[H_A1],Sheet5!A21,Table1[Qty])</f>
        <v>480</v>
      </c>
      <c r="G21" t="str">
        <f>INDEX(Table1[Unit],Table5[[#This Row],[//NOTA]])</f>
        <v>PCS</v>
      </c>
      <c r="H21" s="195">
        <f>SUMIF(Table1[H_A1],Sheet5!A21,Table1[C])</f>
        <v>1</v>
      </c>
      <c r="I21" s="195">
        <f>INDEX(Table1[Unit Price],Table5[[#This Row],[//NOTA]])</f>
        <v>3050</v>
      </c>
      <c r="J21" s="86" t="str">
        <f>IF(Table5[[#This Row],[a2]]="","",Table5[[#This Row],[QTY]]*12)</f>
        <v/>
      </c>
      <c r="K21" s="86" t="str">
        <f>IF(Table5[[#This Row],[UNIT]]="grs","LSN",IF(Table5[[#This Row],[UNIT]]="LSN","PCS",""))</f>
        <v/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135</v>
      </c>
      <c r="B22" s="88"/>
      <c r="C22" s="194">
        <f>MATCH(A22,Table1[H_A1],0)</f>
        <v>1</v>
      </c>
      <c r="D22" s="194">
        <f>MATCH(Table5[[#This Row],[NAMA]],[1]!db[NB PAJAK],0)</f>
        <v>1205</v>
      </c>
      <c r="E22" t="str">
        <f>INDEX(Table1[Item Description],Table5[[#This Row],[//NOTA]])</f>
        <v>ISI CUTTER 18 MM KENKO L-150 (BESAR)</v>
      </c>
      <c r="F22">
        <f>SUMIF(Table1[H_A1],Sheet5!A22,Table1[Qty])</f>
        <v>120</v>
      </c>
      <c r="G22" t="str">
        <f>INDEX(Table1[Unit],Table5[[#This Row],[//NOTA]])</f>
        <v>LSN</v>
      </c>
      <c r="H22" s="195">
        <f>SUMIF(Table1[H_A1],Sheet5!A22,Table1[C])</f>
        <v>2</v>
      </c>
      <c r="I22" s="195">
        <f>INDEX(Table1[Unit Price],Table5[[#This Row],[//NOTA]])</f>
        <v>64800</v>
      </c>
      <c r="J22" s="86">
        <f>IF(Table5[[#This Row],[a2]]="","",Table5[[#This Row],[QTY]]*12)</f>
        <v>1440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154</v>
      </c>
      <c r="B23" s="88"/>
      <c r="C23" s="194">
        <f>MATCH(A23,Table1[H_A1],0)</f>
        <v>4</v>
      </c>
      <c r="D23" s="194">
        <f>MATCH(Table5[[#This Row],[NAMA]],[1]!db[NB PAJAK],0)</f>
        <v>1381</v>
      </c>
      <c r="E23" t="str">
        <f>INDEX(Table1[Item Description],Table5[[#This Row],[//NOTA]])</f>
        <v>ISI STAPLER (STAPLES) KENKO 1210 PREMIUM (23/10)</v>
      </c>
      <c r="F23">
        <f>SUMIF(Table1[H_A1],Sheet5!A23,Table1[Qty])</f>
        <v>800</v>
      </c>
      <c r="G23" t="str">
        <f>INDEX(Table1[Unit],Table5[[#This Row],[//NOTA]])</f>
        <v>BOX</v>
      </c>
      <c r="H23" s="195">
        <f>SUMIF(Table1[H_A1],Sheet5!A23,Table1[C])</f>
        <v>4</v>
      </c>
      <c r="I23" s="195">
        <f>INDEX(Table1[Unit Price],Table5[[#This Row],[//NOTA]])</f>
        <v>4200</v>
      </c>
      <c r="J23" s="86" t="str">
        <f>IF(Table5[[#This Row],[a2]]="","",Table5[[#This Row],[QTY]]*12)</f>
        <v/>
      </c>
      <c r="K23" s="86" t="str">
        <f>IF(Table5[[#This Row],[UNIT]]="grs","LSN",IF(Table5[[#This Row],[UNIT]]="LSN","PCS",""))</f>
        <v/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155</v>
      </c>
      <c r="B24" s="88"/>
      <c r="C24" s="194">
        <f>MATCH(A24,Table1[H_A1],0)</f>
        <v>6</v>
      </c>
      <c r="D24" s="194">
        <f>MATCH(Table5[[#This Row],[NAMA]],[1]!db[NB PAJAK],0)</f>
        <v>1264</v>
      </c>
      <c r="E24" t="str">
        <f>INDEX(Table1[Item Description],Table5[[#This Row],[//NOTA]])</f>
        <v>LEM STICK KENKO 8 GR (KECIL) isi 30 pc</v>
      </c>
      <c r="F24">
        <f>SUMIF(Table1[H_A1],Sheet5!A24,Table1[Qty])</f>
        <v>36</v>
      </c>
      <c r="G24" t="str">
        <f>INDEX(Table1[Unit],Table5[[#This Row],[//NOTA]])</f>
        <v>BOX</v>
      </c>
      <c r="H24" s="195">
        <f>SUMIF(Table1[H_A1],Sheet5!A24,Table1[C])</f>
        <v>1</v>
      </c>
      <c r="I24" s="195">
        <f>INDEX(Table1[Unit Price],Table5[[#This Row],[//NOTA]])</f>
        <v>66000</v>
      </c>
      <c r="J24" s="86" t="str">
        <f>IF(Table5[[#This Row],[a2]]="","",Table5[[#This Row],[QTY]]*12)</f>
        <v/>
      </c>
      <c r="K24" s="86" t="str">
        <f>IF(Table5[[#This Row],[UNIT]]="grs","LSN",IF(Table5[[#This Row],[UNIT]]="LSN","PCS",""))</f>
        <v/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230</v>
      </c>
      <c r="B25" s="88"/>
      <c r="C25" s="194">
        <f>MATCH(A25,Table1[H_A1],0)</f>
        <v>33</v>
      </c>
      <c r="D25" s="194">
        <f>MATCH(Table5[[#This Row],[NAMA]],[1]!db[NB PAJAK],0)</f>
        <v>1707</v>
      </c>
      <c r="E25" t="str">
        <f>INDEX(Table1[Item Description],Table5[[#This Row],[//NOTA]])</f>
        <v>PENCIL CASE 22 x 7.5 MAGNET C-1758</v>
      </c>
      <c r="F25">
        <f>SUMIF(Table1[H_A1],Sheet5!A25,Table1[Qty])</f>
        <v>12</v>
      </c>
      <c r="G25" t="str">
        <f>INDEX(Table1[Unit],Table5[[#This Row],[//NOTA]])</f>
        <v>LS</v>
      </c>
      <c r="H25" s="195">
        <f>SUMIF(Table1[H_A1],Sheet5!A25,Table1[C])</f>
        <v>1</v>
      </c>
      <c r="I25" s="195">
        <f>INDEX(Table1[Unit Price],Table5[[#This Row],[//NOTA]])</f>
        <v>150000</v>
      </c>
      <c r="J25" s="86" t="str">
        <f>IF(Table5[[#This Row],[a2]]="","",Table5[[#This Row],[QTY]]*12)</f>
        <v/>
      </c>
      <c r="K25" s="86" t="str">
        <f>IF(Table5[[#This Row],[UNIT]]="grs","LSN",IF(Table5[[#This Row],[UNIT]]="LSN","PCS",""))</f>
        <v/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177</v>
      </c>
      <c r="B26" s="88"/>
      <c r="C26" s="194">
        <f>MATCH(A26,Table1[H_A1],0)</f>
        <v>17</v>
      </c>
      <c r="D26" s="194">
        <f>MATCH(Table5[[#This Row],[NAMA]],[1]!db[NB PAJAK],0)</f>
        <v>1314</v>
      </c>
      <c r="E26" t="str">
        <f>INDEX(Table1[Item Description],Table5[[#This Row],[//NOTA]])</f>
        <v>PENSIL KENKO 2B-6191 HIJAU CAP HITAM</v>
      </c>
      <c r="F26">
        <f>SUMIF(Table1[H_A1],Sheet5!A26,Table1[Qty])</f>
        <v>40</v>
      </c>
      <c r="G26" t="str">
        <f>INDEX(Table1[Unit],Table5[[#This Row],[//NOTA]])</f>
        <v>GRS</v>
      </c>
      <c r="H26" s="195">
        <f>SUMIF(Table1[H_A1],Sheet5!A26,Table1[C])</f>
        <v>2</v>
      </c>
      <c r="I26" s="195">
        <f>INDEX(Table1[Unit Price],Table5[[#This Row],[//NOTA]])</f>
        <v>110400</v>
      </c>
      <c r="J26" s="86">
        <f>IF(Table5[[#This Row],[a2]]="","",Table5[[#This Row],[QTY]]*12)</f>
        <v>480</v>
      </c>
      <c r="K26" s="86" t="str">
        <f>IF(Table5[[#This Row],[UNIT]]="grs","LSN",IF(Table5[[#This Row],[UNIT]]="LSN","PCS",""))</f>
        <v>LSN</v>
      </c>
      <c r="L26" s="86">
        <f>IF(Table5[[#This Row],[a2]]="LSN",Table5[[#This Row],[a1]]*12,"")</f>
        <v>5760</v>
      </c>
      <c r="M26" s="86" t="str">
        <f>IF(Table5[[#This Row],[b1]]="","","PCS")</f>
        <v>PCS</v>
      </c>
      <c r="N26" s="86"/>
      <c r="O26" s="86"/>
    </row>
    <row r="27" spans="1:15" x14ac:dyDescent="0.25">
      <c r="A27" s="88" t="s">
        <v>201</v>
      </c>
      <c r="B27" s="88"/>
      <c r="C27" s="194">
        <f>MATCH(A27,Table1[H_A1],0)</f>
        <v>25</v>
      </c>
      <c r="D27" s="194">
        <f>MATCH(Table5[[#This Row],[NAMA]],[1]!db[NB PAJAK],0)</f>
        <v>518</v>
      </c>
      <c r="E27" t="str">
        <f>INDEX(Table1[Item Description],Table5[[#This Row],[//NOTA]])</f>
        <v>PENSIL WARNA JOYKO CP-12PB (PANJANG)</v>
      </c>
      <c r="F27">
        <f>SUMIF(Table1[H_A1],Sheet5!A27,Table1[Qty])</f>
        <v>432</v>
      </c>
      <c r="G27" t="str">
        <f>INDEX(Table1[Unit],Table5[[#This Row],[//NOTA]])</f>
        <v>PCS</v>
      </c>
      <c r="H27" s="195">
        <f>SUMIF(Table1[H_A1],Sheet5!A27,Table1[C])</f>
        <v>3</v>
      </c>
      <c r="I27" s="195">
        <f>INDEX(Table1[Unit Price],Table5[[#This Row],[//NOTA]])</f>
        <v>10600</v>
      </c>
      <c r="J27" s="86" t="str">
        <f>IF(Table5[[#This Row],[a2]]="","",Table5[[#This Row],[QTY]]*12)</f>
        <v/>
      </c>
      <c r="K27" s="86" t="str">
        <f>IF(Table5[[#This Row],[UNIT]]="grs","LSN",IF(Table5[[#This Row],[UNIT]]="LSN","PCS",""))</f>
        <v/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202</v>
      </c>
      <c r="B28" s="88"/>
      <c r="C28" s="194">
        <f>MATCH(A28,Table1[H_A1],0)</f>
        <v>23</v>
      </c>
      <c r="D28" s="194">
        <f>MATCH(Table5[[#This Row],[NAMA]],[1]!db[NB PAJAK],0)</f>
        <v>520</v>
      </c>
      <c r="E28" t="str">
        <f>INDEX(Table1[Item Description],Table5[[#This Row],[//NOTA]])</f>
        <v>PENSIL WARNA JOYKO CP-24PB (PANJANG)</v>
      </c>
      <c r="F28">
        <f>SUMIF(Table1[H_A1],Sheet5!A28,Table1[Qty])</f>
        <v>72</v>
      </c>
      <c r="G28" t="str">
        <f>INDEX(Table1[Unit],Table5[[#This Row],[//NOTA]])</f>
        <v>PCS</v>
      </c>
      <c r="H28" s="195">
        <f>SUMIF(Table1[H_A1],Sheet5!A28,Table1[C])</f>
        <v>1</v>
      </c>
      <c r="I28" s="195">
        <f>INDEX(Table1[Unit Price],Table5[[#This Row],[//NOTA]])</f>
        <v>21200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203</v>
      </c>
      <c r="B29" s="88"/>
      <c r="C29" s="194">
        <f>MATCH(A29,Table1[H_A1],0)</f>
        <v>24</v>
      </c>
      <c r="D29" s="194">
        <f>MATCH(Table5[[#This Row],[NAMA]],[1]!db[NB PAJAK],0)</f>
        <v>523</v>
      </c>
      <c r="E29" t="str">
        <f>INDEX(Table1[Item Description],Table5[[#This Row],[//NOTA]])</f>
        <v>PENSIL WARNA JOYKO CP-S12 MINI (PENDEK)</v>
      </c>
      <c r="F29">
        <f>SUMIF(Table1[H_A1],Sheet5!A29,Table1[Qty])</f>
        <v>288</v>
      </c>
      <c r="G29" t="str">
        <f>INDEX(Table1[Unit],Table5[[#This Row],[//NOTA]])</f>
        <v>PCS</v>
      </c>
      <c r="H29" s="195">
        <f>SUMIF(Table1[H_A1],Sheet5!A29,Table1[C])</f>
        <v>1</v>
      </c>
      <c r="I29" s="195">
        <f>INDEX(Table1[Unit Price],Table5[[#This Row],[//NOTA]])</f>
        <v>6700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224</v>
      </c>
      <c r="B30" s="88"/>
      <c r="C30" s="194">
        <f>MATCH(A30,Table1[H_A1],0)</f>
        <v>35</v>
      </c>
      <c r="D30" s="194">
        <f>MATCH(Table5[[#This Row],[NAMA]],[1]!db[NB PAJAK],0)</f>
        <v>1963</v>
      </c>
      <c r="E30" t="str">
        <f>INDEX(Table1[Item Description],Table5[[#This Row],[//NOTA]])</f>
        <v>PENSIL WARNA KAYAGI KY-CP1224 TWIN</v>
      </c>
      <c r="F30">
        <f>SUMIF(Table1[H_A1],Sheet5!A30,Table1[Qty])</f>
        <v>2</v>
      </c>
      <c r="G30" t="str">
        <f>INDEX(Table1[Unit],Table5[[#This Row],[//NOTA]])</f>
        <v>LS</v>
      </c>
      <c r="H30" s="195">
        <f>SUMIF(Table1[H_A1],Sheet5!A30,Table1[C])</f>
        <v>0</v>
      </c>
      <c r="I30" s="195">
        <f>INDEX(Table1[Unit Price],Table5[[#This Row],[//NOTA]])</f>
        <v>149000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239</v>
      </c>
      <c r="B31" s="88"/>
      <c r="C31" s="194">
        <f>MATCH(A31,Table1[H_A1],0)</f>
        <v>45</v>
      </c>
      <c r="D31" s="194">
        <f>MATCH(Table5[[#This Row],[NAMA]],[1]!db[NB PAJAK],0)</f>
        <v>1339</v>
      </c>
      <c r="E31" t="str">
        <f>INDEX(Table1[Item Description],Table5[[#This Row],[//NOTA]])</f>
        <v>PUNCH KENKO NO. 40</v>
      </c>
      <c r="F31">
        <f>SUMIF(Table1[H_A1],Sheet5!A31,Table1[Qty])</f>
        <v>3</v>
      </c>
      <c r="G31" t="str">
        <f>INDEX(Table1[Unit],Table5[[#This Row],[//NOTA]])</f>
        <v>LSN</v>
      </c>
      <c r="H31" s="195">
        <f>SUMIF(Table1[H_A1],Sheet5!A31,Table1[C])</f>
        <v>0</v>
      </c>
      <c r="I31" s="195">
        <f>INDEX(Table1[Unit Price],Table5[[#This Row],[//NOTA]])</f>
        <v>282000</v>
      </c>
      <c r="J31" s="86">
        <f>IF(Table5[[#This Row],[a2]]="","",Table5[[#This Row],[QTY]]*12)</f>
        <v>36</v>
      </c>
      <c r="K31" s="86" t="str">
        <f>IF(Table5[[#This Row],[UNIT]]="grs","LSN",IF(Table5[[#This Row],[UNIT]]="LSN","PCS",""))</f>
        <v>PCS</v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204</v>
      </c>
      <c r="B32" s="88"/>
      <c r="C32" s="194">
        <f>MATCH(A32,Table1[H_A1],0)</f>
        <v>26</v>
      </c>
      <c r="D32" s="194">
        <f>MATCH(Table5[[#This Row],[NAMA]],[1]!db[NB PAJAK],0)</f>
        <v>2129</v>
      </c>
      <c r="E32" t="str">
        <f>INDEX(Table1[Item Description],Table5[[#This Row],[//NOTA]])</f>
        <v>STAPLER JOYKO HD-50</v>
      </c>
      <c r="F32">
        <f>SUMIF(Table1[H_A1],Sheet5!A32,Table1[Qty])</f>
        <v>240</v>
      </c>
      <c r="G32" t="str">
        <f>INDEX(Table1[Unit],Table5[[#This Row],[//NOTA]])</f>
        <v>PCS</v>
      </c>
      <c r="H32" s="195">
        <f>SUMIF(Table1[H_A1],Sheet5!A32,Table1[C])</f>
        <v>2</v>
      </c>
      <c r="I32" s="195">
        <f>INDEX(Table1[Unit Price],Table5[[#This Row],[//NOTA]])</f>
        <v>18700</v>
      </c>
      <c r="J32" s="86" t="str">
        <f>IF(Table5[[#This Row],[a2]]="","",Table5[[#This Row],[QTY]]*12)</f>
        <v/>
      </c>
      <c r="K32" s="86" t="str">
        <f>IF(Table5[[#This Row],[UNIT]]="grs","LSN",IF(Table5[[#This Row],[UNIT]]="LSN","PCS",""))</f>
        <v/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205</v>
      </c>
      <c r="B33" s="88"/>
      <c r="C33" s="194">
        <f>MATCH(A33,Table1[H_A1],0)</f>
        <v>27</v>
      </c>
      <c r="D33" s="194">
        <f>MATCH(Table5[[#This Row],[NAMA]],[1]!db[NB PAJAK],0)</f>
        <v>722</v>
      </c>
      <c r="E33" t="str">
        <f>INDEX(Table1[Item Description],Table5[[#This Row],[//NOTA]])</f>
        <v>STIP / PENGHAPUS JOYKO 526-B20 PUTIH</v>
      </c>
      <c r="F33">
        <f>SUMIF(Table1[H_A1],Sheet5!A33,Table1[Qty])</f>
        <v>150</v>
      </c>
      <c r="G33" t="str">
        <f>INDEX(Table1[Unit],Table5[[#This Row],[//NOTA]])</f>
        <v>BOX</v>
      </c>
      <c r="H33" s="195">
        <f>SUMIF(Table1[H_A1],Sheet5!A33,Table1[C])</f>
        <v>3</v>
      </c>
      <c r="I33" s="195">
        <f>INDEX(Table1[Unit Price],Table5[[#This Row],[//NOTA]])</f>
        <v>34100</v>
      </c>
      <c r="J33" s="86" t="str">
        <f>IF(Table5[[#This Row],[a2]]="","",Table5[[#This Row],[QTY]]*12)</f>
        <v/>
      </c>
      <c r="K33" s="86" t="str">
        <f>IF(Table5[[#This Row],[UNIT]]="grs","LSN",IF(Table5[[#This Row],[UNIT]]="LSN","PCS",""))</f>
        <v/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172</v>
      </c>
      <c r="B34" s="88"/>
      <c r="C34" s="194">
        <f>MATCH(A34,Table1[H_A1],0)</f>
        <v>11</v>
      </c>
      <c r="D34" s="194">
        <f>MATCH(Table5[[#This Row],[NAMA]],[1]!db[NB PAJAK],0)</f>
        <v>725</v>
      </c>
      <c r="E34" t="str">
        <f>INDEX(Table1[Item Description],Table5[[#This Row],[//NOTA]])</f>
        <v>STIP / PENGHAPUS JOYKO 526-B40P PUTIH</v>
      </c>
      <c r="F34">
        <f>SUMIF(Table1[H_A1],Sheet5!A34,Table1[Qty])</f>
        <v>100</v>
      </c>
      <c r="G34" t="str">
        <f>INDEX(Table1[Unit],Table5[[#This Row],[//NOTA]])</f>
        <v>BOX</v>
      </c>
      <c r="H34" s="195">
        <f>SUMIF(Table1[H_A1],Sheet5!A34,Table1[C])</f>
        <v>2</v>
      </c>
      <c r="I34" s="195">
        <f>INDEX(Table1[Unit Price],Table5[[#This Row],[//NOTA]])</f>
        <v>28300</v>
      </c>
      <c r="J34" s="86" t="str">
        <f>IF(Table5[[#This Row],[a2]]="","",Table5[[#This Row],[QTY]]*12)</f>
        <v/>
      </c>
      <c r="K34" s="86" t="str">
        <f>IF(Table5[[#This Row],[UNIT]]="grs","LSN",IF(Table5[[#This Row],[UNIT]]="LSN","PCS",""))</f>
        <v/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244</v>
      </c>
      <c r="B35" s="88"/>
      <c r="C35" s="194">
        <f>MATCH(A35,Table1[H_A1],0)</f>
        <v>47</v>
      </c>
      <c r="D35" s="194">
        <f>MATCH(Table5[[#This Row],[NAMA]],[1]!db[NB PAJAK],0)</f>
        <v>1384</v>
      </c>
      <c r="E35" t="str">
        <f>INDEX(Table1[Item Description],Table5[[#This Row],[//NOTA]])</f>
        <v>TAPE DISPENSER KENKO TD-321 (1" &amp; 3" CORE)</v>
      </c>
      <c r="F35">
        <f>SUMIF(Table1[H_A1],Sheet5!A35,Table1[Qty])</f>
        <v>24</v>
      </c>
      <c r="G35" t="str">
        <f>INDEX(Table1[Unit],Table5[[#This Row],[//NOTA]])</f>
        <v>PCS</v>
      </c>
      <c r="H35" s="195">
        <f>SUMIF(Table1[H_A1],Sheet5!A35,Table1[C])</f>
        <v>1</v>
      </c>
      <c r="I35" s="195">
        <f>INDEX(Table1[Unit Price],Table5[[#This Row],[//NOTA]])</f>
        <v>18500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225</v>
      </c>
      <c r="B36" s="88"/>
      <c r="C36" s="194">
        <f>MATCH(A36,Table1[H_A1],0)</f>
        <v>42</v>
      </c>
      <c r="D36" s="194">
        <f>MATCH(Table5[[#This Row],[NAMA]],[1]!db[NB PAJAK],0)</f>
        <v>2015</v>
      </c>
      <c r="E36" t="str">
        <f>INDEX(Table1[Item Description],Table5[[#This Row],[//NOTA]])</f>
        <v>TAPE DISPENSER POLAR BEAR MN-305 @12pc</v>
      </c>
      <c r="F36">
        <f>SUMIF(Table1[H_A1],Sheet5!A36,Table1[Qty])</f>
        <v>2</v>
      </c>
      <c r="G36" t="str">
        <f>INDEX(Table1[Unit],Table5[[#This Row],[//NOTA]])</f>
        <v>BOX</v>
      </c>
      <c r="H36" s="195">
        <f>SUMIF(Table1[H_A1],Sheet5!A36,Table1[C])</f>
        <v>0</v>
      </c>
      <c r="I36" s="195">
        <f>INDEX(Table1[Unit Price],Table5[[#This Row],[//NOTA]])</f>
        <v>105000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55</v>
      </c>
      <c r="B37" s="88"/>
      <c r="C37" s="194" t="e">
        <f>MATCH(A37,Table1[H_A1],0)</f>
        <v>#N/A</v>
      </c>
      <c r="D37" s="194" t="e">
        <f>MATCH(Table5[[#This Row],[NAMA]],[1]!db[NB PAJAK],0)</f>
        <v>#N/A</v>
      </c>
      <c r="E37" t="e">
        <f>INDEX(Table1[Item Description],Table5[[#This Row],[//NOTA]])</f>
        <v>#N/A</v>
      </c>
      <c r="F37">
        <f>SUMIF(Table1[H_A1],Sheet5!A37,Table1[Qty])</f>
        <v>0</v>
      </c>
      <c r="G37" t="e">
        <f>INDEX(Table1[Unit],Table5[[#This Row],[//NOTA]])</f>
        <v>#N/A</v>
      </c>
      <c r="H37" s="195">
        <f>SUMIF(Table1[H_A1],Sheet5!A37,Table1[C])</f>
        <v>0</v>
      </c>
      <c r="I37" s="195" t="e">
        <f>INDEX(Table1[Unit Price],Table5[[#This Row],[//NOTA]])</f>
        <v>#N/A</v>
      </c>
      <c r="J37" s="86" t="e">
        <f>IF(Table5[[#This Row],[a2]]="","",Table5[[#This Row],[QTY]]*12)</f>
        <v>#N/A</v>
      </c>
      <c r="K37" s="86" t="e">
        <f>IF(Table5[[#This Row],[UNIT]]="grs","LSN",IF(Table5[[#This Row],[UNIT]]="LSN","PCS",""))</f>
        <v>#N/A</v>
      </c>
      <c r="L37" s="86" t="e">
        <f>IF(Table5[[#This Row],[a2]]="LSN",Table5[[#This Row],[a1]]*12,"")</f>
        <v>#N/A</v>
      </c>
      <c r="M37" s="86" t="e">
        <f>IF(Table5[[#This Row],[b1]]="","","PCS")</f>
        <v>#N/A</v>
      </c>
      <c r="N37" s="86"/>
      <c r="O37" s="86"/>
    </row>
    <row r="38" spans="1:15" x14ac:dyDescent="0.25">
      <c r="B38" s="88"/>
      <c r="C38" s="194" t="e">
        <f>MATCH(A38,Table1[H_A1],0)</f>
        <v>#N/A</v>
      </c>
      <c r="D38" s="194" t="e">
        <f>MATCH(Table5[[#This Row],[NAMA]],[1]!db[NB PAJAK],0)</f>
        <v>#N/A</v>
      </c>
      <c r="E38" t="e">
        <f>INDEX(Table1[Item Description],Table5[[#This Row],[//NOTA]])</f>
        <v>#N/A</v>
      </c>
      <c r="F38">
        <f>SUMIF(Table1[H_A1],Sheet5!A38,Table1[Qty])</f>
        <v>0</v>
      </c>
      <c r="G38" t="e">
        <f>INDEX(Table1[Unit],Table5[[#This Row],[//NOTA]])</f>
        <v>#N/A</v>
      </c>
      <c r="H38" s="195">
        <f>SUMIF(Table1[H_A1],Sheet5!A38,Table1[C])</f>
        <v>0</v>
      </c>
      <c r="I38" s="195" t="e">
        <f>INDEX(Table1[Unit Price],Table5[[#This Row],[//NOTA]])</f>
        <v>#N/A</v>
      </c>
      <c r="J38" s="86" t="e">
        <f>IF(Table5[[#This Row],[a2]]="","",Table5[[#This Row],[QTY]]*12)</f>
        <v>#N/A</v>
      </c>
      <c r="K38" s="86" t="e">
        <f>IF(Table5[[#This Row],[UNIT]]="grs","LSN",IF(Table5[[#This Row],[UNIT]]="LSN","PCS",""))</f>
        <v>#N/A</v>
      </c>
      <c r="L38" s="86" t="e">
        <f>IF(Table5[[#This Row],[a2]]="LSN",Table5[[#This Row],[a1]]*12,"")</f>
        <v>#N/A</v>
      </c>
      <c r="M38" s="86" t="e">
        <f>IF(Table5[[#This Row],[b1]]="","","PCS")</f>
        <v>#N/A</v>
      </c>
      <c r="N38" s="86"/>
      <c r="O38" s="86"/>
    </row>
    <row r="39" spans="1:15" x14ac:dyDescent="0.25">
      <c r="B39" s="88"/>
      <c r="C39" s="194" t="e">
        <f>MATCH(A39,Table1[H_A1],0)</f>
        <v>#N/A</v>
      </c>
      <c r="D39" s="194" t="e">
        <f>MATCH(Table5[[#This Row],[NAMA]],[1]!db[NB PAJAK],0)</f>
        <v>#N/A</v>
      </c>
      <c r="E39" t="e">
        <f>INDEX(Table1[Item Description],Table5[[#This Row],[//NOTA]])</f>
        <v>#N/A</v>
      </c>
      <c r="F39">
        <f>SUMIF(Table1[H_A1],Sheet5!A39,Table1[Qty])</f>
        <v>0</v>
      </c>
      <c r="G39" t="e">
        <f>INDEX(Table1[Unit],Table5[[#This Row],[//NOTA]])</f>
        <v>#N/A</v>
      </c>
      <c r="H39" s="195">
        <f>SUMIF(Table1[H_A1],Sheet5!A39,Table1[C])</f>
        <v>0</v>
      </c>
      <c r="I39" s="195" t="e">
        <f>INDEX(Table1[Unit Price],Table5[[#This Row],[//NOTA]])</f>
        <v>#N/A</v>
      </c>
      <c r="J39" s="86" t="e">
        <f>IF(Table5[[#This Row],[a2]]="","",Table5[[#This Row],[QTY]]*12)</f>
        <v>#N/A</v>
      </c>
      <c r="K39" s="86" t="e">
        <f>IF(Table5[[#This Row],[UNIT]]="grs","LSN",IF(Table5[[#This Row],[UNIT]]="LSN","PCS",""))</f>
        <v>#N/A</v>
      </c>
      <c r="L39" s="86" t="e">
        <f>IF(Table5[[#This Row],[a2]]="LSN",Table5[[#This Row],[a1]]*12,"")</f>
        <v>#N/A</v>
      </c>
      <c r="M39" s="86" t="e">
        <f>IF(Table5[[#This Row],[b1]]="","","PCS")</f>
        <v>#N/A</v>
      </c>
      <c r="N39" s="86"/>
      <c r="O39" s="86"/>
    </row>
    <row r="40" spans="1:15" x14ac:dyDescent="0.25">
      <c r="B40" s="88"/>
      <c r="C40" s="194" t="e">
        <f>MATCH(A40,Table1[H_A1],0)</f>
        <v>#N/A</v>
      </c>
      <c r="D40" s="194" t="e">
        <f>MATCH(Table5[[#This Row],[NAMA]],[1]!db[NB PAJAK],0)</f>
        <v>#N/A</v>
      </c>
      <c r="E40" t="e">
        <f>INDEX(Table1[Item Description],Table5[[#This Row],[//NOTA]])</f>
        <v>#N/A</v>
      </c>
      <c r="F40">
        <f>SUMIF(Table1[H_A1],Sheet5!A40,Table1[Qty])</f>
        <v>0</v>
      </c>
      <c r="G40" t="e">
        <f>INDEX(Table1[Unit],Table5[[#This Row],[//NOTA]])</f>
        <v>#N/A</v>
      </c>
      <c r="H40" s="195">
        <f>SUMIF(Table1[H_A1],Sheet5!A40,Table1[C])</f>
        <v>0</v>
      </c>
      <c r="I40" s="195" t="e">
        <f>INDEX(Table1[Unit Price],Table5[[#This Row],[//NOTA]])</f>
        <v>#N/A</v>
      </c>
      <c r="J40" s="86" t="e">
        <f>IF(Table5[[#This Row],[a2]]="","",Table5[[#This Row],[QTY]]*12)</f>
        <v>#N/A</v>
      </c>
      <c r="K40" s="86" t="e">
        <f>IF(Table5[[#This Row],[UNIT]]="grs","LSN",IF(Table5[[#This Row],[UNIT]]="LSN","PCS",""))</f>
        <v>#N/A</v>
      </c>
      <c r="L40" s="86" t="e">
        <f>IF(Table5[[#This Row],[a2]]="LSN",Table5[[#This Row],[a1]]*12,"")</f>
        <v>#N/A</v>
      </c>
      <c r="M40" s="86" t="e">
        <f>IF(Table5[[#This Row],[b1]]="","","PCS")</f>
        <v>#N/A</v>
      </c>
      <c r="N40" s="86"/>
      <c r="O40" s="86"/>
    </row>
    <row r="41" spans="1:15" x14ac:dyDescent="0.25">
      <c r="B41" s="88"/>
      <c r="C41" s="194" t="e">
        <f>MATCH(A41,Table1[H_A1],0)</f>
        <v>#N/A</v>
      </c>
      <c r="D41" s="194" t="e">
        <f>MATCH(Table5[[#This Row],[NAMA]],[1]!db[NB PAJAK],0)</f>
        <v>#N/A</v>
      </c>
      <c r="E41" t="e">
        <f>INDEX(Table1[Item Description],Table5[[#This Row],[//NOTA]])</f>
        <v>#N/A</v>
      </c>
      <c r="F41">
        <f>SUMIF(Table1[H_A1],Sheet5!A41,Table1[Qty])</f>
        <v>0</v>
      </c>
      <c r="G41" t="e">
        <f>INDEX(Table1[Unit],Table5[[#This Row],[//NOTA]])</f>
        <v>#N/A</v>
      </c>
      <c r="H41" s="195">
        <f>SUMIF(Table1[H_A1],Sheet5!A41,Table1[C])</f>
        <v>0</v>
      </c>
      <c r="I41" s="195" t="e">
        <f>INDEX(Table1[Unit Price],Table5[[#This Row],[//NOTA]])</f>
        <v>#N/A</v>
      </c>
      <c r="J41" s="86" t="e">
        <f>IF(Table5[[#This Row],[a2]]="","",Table5[[#This Row],[QTY]]*12)</f>
        <v>#N/A</v>
      </c>
      <c r="K41" s="86" t="e">
        <f>IF(Table5[[#This Row],[UNIT]]="grs","LSN",IF(Table5[[#This Row],[UNIT]]="LSN","PCS",""))</f>
        <v>#N/A</v>
      </c>
      <c r="L41" s="86" t="e">
        <f>IF(Table5[[#This Row],[a2]]="LSN",Table5[[#This Row],[a1]]*12,"")</f>
        <v>#N/A</v>
      </c>
      <c r="M41" s="86" t="e">
        <f>IF(Table5[[#This Row],[b1]]="","","PCS")</f>
        <v>#N/A</v>
      </c>
      <c r="N41" s="86"/>
      <c r="O41" s="86"/>
    </row>
    <row r="42" spans="1:15" x14ac:dyDescent="0.25">
      <c r="B42" s="88"/>
      <c r="C42" s="194" t="e">
        <f>MATCH(A42,Table1[H_A1],0)</f>
        <v>#N/A</v>
      </c>
      <c r="D42" s="194" t="e">
        <f>MATCH(Table5[[#This Row],[NAMA]],[1]!db[NB PAJAK],0)</f>
        <v>#N/A</v>
      </c>
      <c r="E42" t="e">
        <f>INDEX(Table1[Item Description],Table5[[#This Row],[//NOTA]])</f>
        <v>#N/A</v>
      </c>
      <c r="F42">
        <f>SUMIF(Table1[H_A1],Sheet5!A42,Table1[Qty])</f>
        <v>0</v>
      </c>
      <c r="G42" t="e">
        <f>INDEX(Table1[Unit],Table5[[#This Row],[//NOTA]])</f>
        <v>#N/A</v>
      </c>
      <c r="H42" s="195">
        <f>SUMIF(Table1[H_A1],Sheet5!A42,Table1[C])</f>
        <v>0</v>
      </c>
      <c r="I42" s="195" t="e">
        <f>INDEX(Table1[Unit Price],Table5[[#This Row],[//NOTA]])</f>
        <v>#N/A</v>
      </c>
      <c r="J42" s="86" t="e">
        <f>IF(Table5[[#This Row],[a2]]="","",Table5[[#This Row],[QTY]]*12)</f>
        <v>#N/A</v>
      </c>
      <c r="K42" s="86" t="e">
        <f>IF(Table5[[#This Row],[UNIT]]="grs","LSN",IF(Table5[[#This Row],[UNIT]]="LSN","PCS",""))</f>
        <v>#N/A</v>
      </c>
      <c r="L42" s="86" t="e">
        <f>IF(Table5[[#This Row],[a2]]="LSN",Table5[[#This Row],[a1]]*12,"")</f>
        <v>#N/A</v>
      </c>
      <c r="M42" s="86" t="e">
        <f>IF(Table5[[#This Row],[b1]]="","","PCS")</f>
        <v>#N/A</v>
      </c>
      <c r="N42" s="86"/>
      <c r="O42" s="86"/>
    </row>
    <row r="43" spans="1:15" x14ac:dyDescent="0.25">
      <c r="B43" s="88"/>
      <c r="C43" s="194" t="e">
        <f>MATCH(A43,Table1[H_A1],0)</f>
        <v>#N/A</v>
      </c>
      <c r="D43" s="194" t="e">
        <f>MATCH(Table5[[#This Row],[NAMA]],[1]!db[NB PAJAK],0)</f>
        <v>#N/A</v>
      </c>
      <c r="E43" t="e">
        <f>INDEX(Table1[Item Description],Table5[[#This Row],[//NOTA]])</f>
        <v>#N/A</v>
      </c>
      <c r="F43">
        <f>SUMIF(Table1[H_A1],Sheet5!A43,Table1[Qty])</f>
        <v>0</v>
      </c>
      <c r="G43" t="e">
        <f>INDEX(Table1[Unit],Table5[[#This Row],[//NOTA]])</f>
        <v>#N/A</v>
      </c>
      <c r="H43" s="195">
        <f>SUMIF(Table1[H_A1],Sheet5!A43,Table1[C])</f>
        <v>0</v>
      </c>
      <c r="I43" s="195" t="e">
        <f>INDEX(Table1[Unit Price],Table5[[#This Row],[//NOTA]])</f>
        <v>#N/A</v>
      </c>
      <c r="J43" s="86" t="e">
        <f>IF(Table5[[#This Row],[a2]]="","",Table5[[#This Row],[QTY]]*12)</f>
        <v>#N/A</v>
      </c>
      <c r="K43" s="86" t="e">
        <f>IF(Table5[[#This Row],[UNIT]]="grs","LSN",IF(Table5[[#This Row],[UNIT]]="LSN","PCS",""))</f>
        <v>#N/A</v>
      </c>
      <c r="L43" s="86" t="e">
        <f>IF(Table5[[#This Row],[a2]]="LSN",Table5[[#This Row],[a1]]*12,"")</f>
        <v>#N/A</v>
      </c>
      <c r="M43" s="86" t="e">
        <f>IF(Table5[[#This Row],[b1]]="","","PCS")</f>
        <v>#N/A</v>
      </c>
      <c r="N43" s="86"/>
      <c r="O43" s="86"/>
    </row>
    <row r="44" spans="1:15" x14ac:dyDescent="0.25">
      <c r="B44" s="88"/>
      <c r="C44" s="194" t="e">
        <f>MATCH(A44,Table1[H_A1],0)</f>
        <v>#N/A</v>
      </c>
      <c r="D44" s="194" t="e">
        <f>MATCH(Table5[[#This Row],[NAMA]],[1]!db[NB PAJAK],0)</f>
        <v>#N/A</v>
      </c>
      <c r="E44" t="e">
        <f>INDEX(Table1[Item Description],Table5[[#This Row],[//NOTA]])</f>
        <v>#N/A</v>
      </c>
      <c r="F44">
        <f>SUMIF(Table1[H_A1],Sheet5!A44,Table1[Qty])</f>
        <v>0</v>
      </c>
      <c r="G44" t="e">
        <f>INDEX(Table1[Unit],Table5[[#This Row],[//NOTA]])</f>
        <v>#N/A</v>
      </c>
      <c r="H44" s="195">
        <f>SUMIF(Table1[H_A1],Sheet5!A44,Table1[C])</f>
        <v>0</v>
      </c>
      <c r="I44" s="195" t="e">
        <f>INDEX(Table1[Unit Price],Table5[[#This Row],[//NOTA]])</f>
        <v>#N/A</v>
      </c>
      <c r="J44" s="86" t="e">
        <f>IF(Table5[[#This Row],[a2]]="","",Table5[[#This Row],[QTY]]*12)</f>
        <v>#N/A</v>
      </c>
      <c r="K44" s="86" t="e">
        <f>IF(Table5[[#This Row],[UNIT]]="grs","LSN",IF(Table5[[#This Row],[UNIT]]="LSN","PCS",""))</f>
        <v>#N/A</v>
      </c>
      <c r="L44" s="86" t="e">
        <f>IF(Table5[[#This Row],[a2]]="LSN",Table5[[#This Row],[a1]]*12,"")</f>
        <v>#N/A</v>
      </c>
      <c r="M44" s="86" t="e">
        <f>IF(Table5[[#This Row],[b1]]="","","PCS")</f>
        <v>#N/A</v>
      </c>
      <c r="N44" s="86"/>
      <c r="O44" s="86"/>
    </row>
    <row r="45" spans="1:15" x14ac:dyDescent="0.25">
      <c r="B45" s="88"/>
      <c r="C45" s="194" t="e">
        <f>MATCH(A45,Table1[H_A1],0)</f>
        <v>#N/A</v>
      </c>
      <c r="D45" s="194" t="e">
        <f>MATCH(Table5[[#This Row],[NAMA]],[1]!db[NB PAJAK],0)</f>
        <v>#N/A</v>
      </c>
      <c r="E45" t="e">
        <f>INDEX(Table1[Item Description],Table5[[#This Row],[//NOTA]])</f>
        <v>#N/A</v>
      </c>
      <c r="F45">
        <f>SUMIF(Table1[H_A1],Sheet5!A45,Table1[Qty])</f>
        <v>0</v>
      </c>
      <c r="G45" t="e">
        <f>INDEX(Table1[Unit],Table5[[#This Row],[//NOTA]])</f>
        <v>#N/A</v>
      </c>
      <c r="H45" s="195">
        <f>SUMIF(Table1[H_A1],Sheet5!A45,Table1[C])</f>
        <v>0</v>
      </c>
      <c r="I45" s="195" t="e">
        <f>INDEX(Table1[Unit Price],Table5[[#This Row],[//NOTA]])</f>
        <v>#N/A</v>
      </c>
      <c r="J45" s="86" t="e">
        <f>IF(Table5[[#This Row],[a2]]="","",Table5[[#This Row],[QTY]]*12)</f>
        <v>#N/A</v>
      </c>
      <c r="K45" s="86" t="e">
        <f>IF(Table5[[#This Row],[UNIT]]="grs","LSN",IF(Table5[[#This Row],[UNIT]]="LSN","PCS",""))</f>
        <v>#N/A</v>
      </c>
      <c r="L45" s="86" t="e">
        <f>IF(Table5[[#This Row],[a2]]="LSN",Table5[[#This Row],[a1]]*12,"")</f>
        <v>#N/A</v>
      </c>
      <c r="M45" s="86" t="e">
        <f>IF(Table5[[#This Row],[b1]]="","","PCS")</f>
        <v>#N/A</v>
      </c>
      <c r="N45" s="86"/>
      <c r="O45" s="86"/>
    </row>
    <row r="46" spans="1:15" x14ac:dyDescent="0.25">
      <c r="B46" s="88"/>
      <c r="C46" s="194" t="e">
        <f>MATCH(A46,Table1[H_A1],0)</f>
        <v>#N/A</v>
      </c>
      <c r="D46" s="194" t="e">
        <f>MATCH(Table5[[#This Row],[NAMA]],[1]!db[NB PAJAK],0)</f>
        <v>#N/A</v>
      </c>
      <c r="E46" t="e">
        <f>INDEX(Table1[Item Description],Table5[[#This Row],[//NOTA]])</f>
        <v>#N/A</v>
      </c>
      <c r="F46">
        <f>SUMIF(Table1[H_A1],Sheet5!A46,Table1[Qty])</f>
        <v>0</v>
      </c>
      <c r="G46" t="e">
        <f>INDEX(Table1[Unit],Table5[[#This Row],[//NOTA]])</f>
        <v>#N/A</v>
      </c>
      <c r="H46" s="195">
        <f>SUMIF(Table1[H_A1],Sheet5!A46,Table1[C])</f>
        <v>0</v>
      </c>
      <c r="I46" s="195" t="e">
        <f>INDEX(Table1[Unit Price],Table5[[#This Row],[//NOTA]])</f>
        <v>#N/A</v>
      </c>
      <c r="J46" s="86" t="e">
        <f>IF(Table5[[#This Row],[a2]]="","",Table5[[#This Row],[QTY]]*12)</f>
        <v>#N/A</v>
      </c>
      <c r="K46" s="86" t="e">
        <f>IF(Table5[[#This Row],[UNIT]]="grs","LSN",IF(Table5[[#This Row],[UNIT]]="LSN","PCS",""))</f>
        <v>#N/A</v>
      </c>
      <c r="L46" s="86" t="e">
        <f>IF(Table5[[#This Row],[a2]]="LSN",Table5[[#This Row],[a1]]*12,"")</f>
        <v>#N/A</v>
      </c>
      <c r="M46" s="86" t="e">
        <f>IF(Table5[[#This Row],[b1]]="","","PCS")</f>
        <v>#N/A</v>
      </c>
      <c r="N46" s="86"/>
      <c r="O46" s="86"/>
    </row>
    <row r="47" spans="1:15" x14ac:dyDescent="0.25">
      <c r="B47" s="88"/>
      <c r="C47" s="194" t="e">
        <f>MATCH(A47,Table1[H_A1],0)</f>
        <v>#N/A</v>
      </c>
      <c r="D47" s="194" t="e">
        <f>MATCH(Table5[[#This Row],[NAMA]],[1]!db[NB PAJAK],0)</f>
        <v>#N/A</v>
      </c>
      <c r="E47" t="e">
        <f>INDEX(Table1[Item Description],Table5[[#This Row],[//NOTA]])</f>
        <v>#N/A</v>
      </c>
      <c r="F47">
        <f>SUMIF(Table1[H_A1],Sheet5!A47,Table1[Qty])</f>
        <v>0</v>
      </c>
      <c r="G47" t="e">
        <f>INDEX(Table1[Unit],Table5[[#This Row],[//NOTA]])</f>
        <v>#N/A</v>
      </c>
      <c r="H47" s="195">
        <f>SUMIF(Table1[H_A1],Sheet5!A47,Table1[C])</f>
        <v>0</v>
      </c>
      <c r="I47" s="195" t="e">
        <f>INDEX(Table1[Unit Price],Table5[[#This Row],[//NOTA]])</f>
        <v>#N/A</v>
      </c>
      <c r="J47" s="86" t="e">
        <f>IF(Table5[[#This Row],[a2]]="","",Table5[[#This Row],[QTY]]*12)</f>
        <v>#N/A</v>
      </c>
      <c r="K47" s="86" t="e">
        <f>IF(Table5[[#This Row],[UNIT]]="grs","LSN",IF(Table5[[#This Row],[UNIT]]="LSN","PCS",""))</f>
        <v>#N/A</v>
      </c>
      <c r="L47" s="86" t="e">
        <f>IF(Table5[[#This Row],[a2]]="LSN",Table5[[#This Row],[a1]]*12,"")</f>
        <v>#N/A</v>
      </c>
      <c r="M47" s="86" t="e">
        <f>IF(Table5[[#This Row],[b1]]="","","PCS")</f>
        <v>#N/A</v>
      </c>
      <c r="N47" s="86"/>
      <c r="O47" s="86"/>
    </row>
    <row r="48" spans="1:15" x14ac:dyDescent="0.25">
      <c r="B48" s="88"/>
      <c r="C48" s="194" t="e">
        <f>MATCH(A48,Table1[H_A1],0)</f>
        <v>#N/A</v>
      </c>
      <c r="D48" s="194" t="e">
        <f>MATCH(Table5[[#This Row],[NAMA]],[1]!db[NB PAJAK],0)</f>
        <v>#N/A</v>
      </c>
      <c r="E48" t="e">
        <f>INDEX(Table1[Item Description],Table5[[#This Row],[//NOTA]])</f>
        <v>#N/A</v>
      </c>
      <c r="F48">
        <f>SUMIF(Table1[H_A1],Sheet5!A48,Table1[Qty])</f>
        <v>0</v>
      </c>
      <c r="G48" t="e">
        <f>INDEX(Table1[Unit],Table5[[#This Row],[//NOTA]])</f>
        <v>#N/A</v>
      </c>
      <c r="H48" s="195">
        <f>SUMIF(Table1[H_A1],Sheet5!A48,Table1[C])</f>
        <v>0</v>
      </c>
      <c r="I48" s="195" t="e">
        <f>INDEX(Table1[Unit Price],Table5[[#This Row],[//NOTA]])</f>
        <v>#N/A</v>
      </c>
      <c r="J48" s="86" t="e">
        <f>IF(Table5[[#This Row],[a2]]="","",Table5[[#This Row],[QTY]]*12)</f>
        <v>#N/A</v>
      </c>
      <c r="K48" s="86" t="e">
        <f>IF(Table5[[#This Row],[UNIT]]="grs","LSN",IF(Table5[[#This Row],[UNIT]]="LSN","PCS",""))</f>
        <v>#N/A</v>
      </c>
      <c r="L48" s="86" t="e">
        <f>IF(Table5[[#This Row],[a2]]="LSN",Table5[[#This Row],[a1]]*12,"")</f>
        <v>#N/A</v>
      </c>
      <c r="M48" s="86" t="e">
        <f>IF(Table5[[#This Row],[b1]]="","","PCS")</f>
        <v>#N/A</v>
      </c>
      <c r="N48" s="86"/>
      <c r="O48" s="86"/>
    </row>
    <row r="49" spans="2:15" x14ac:dyDescent="0.25">
      <c r="B49" s="88"/>
      <c r="C49" s="194" t="e">
        <f>MATCH(A49,Table1[H_A1],0)</f>
        <v>#N/A</v>
      </c>
      <c r="D49" s="194" t="e">
        <f>MATCH(Table5[[#This Row],[NAMA]],[1]!db[NB PAJAK],0)</f>
        <v>#N/A</v>
      </c>
      <c r="E49" t="e">
        <f>INDEX(Table1[Item Description],Table5[[#This Row],[//NOTA]])</f>
        <v>#N/A</v>
      </c>
      <c r="F49">
        <f>SUMIF(Table1[H_A1],Sheet5!A49,Table1[Qty])</f>
        <v>0</v>
      </c>
      <c r="G49" t="e">
        <f>INDEX(Table1[Unit],Table5[[#This Row],[//NOTA]])</f>
        <v>#N/A</v>
      </c>
      <c r="H49" s="195">
        <f>SUMIF(Table1[H_A1],Sheet5!A49,Table1[C])</f>
        <v>0</v>
      </c>
      <c r="I49" s="195" t="e">
        <f>INDEX(Table1[Unit Price],Table5[[#This Row],[//NOTA]])</f>
        <v>#N/A</v>
      </c>
      <c r="J49" s="86" t="e">
        <f>IF(Table5[[#This Row],[a2]]="","",Table5[[#This Row],[QTY]]*12)</f>
        <v>#N/A</v>
      </c>
      <c r="K49" s="86" t="e">
        <f>IF(Table5[[#This Row],[UNIT]]="grs","LSN",IF(Table5[[#This Row],[UNIT]]="LSN","PCS",""))</f>
        <v>#N/A</v>
      </c>
      <c r="L49" s="86" t="e">
        <f>IF(Table5[[#This Row],[a2]]="LSN",Table5[[#This Row],[a1]]*12,"")</f>
        <v>#N/A</v>
      </c>
      <c r="M49" s="86" t="e">
        <f>IF(Table5[[#This Row],[b1]]="","","PCS")</f>
        <v>#N/A</v>
      </c>
      <c r="N49" s="86"/>
      <c r="O49" s="86"/>
    </row>
    <row r="50" spans="2:15" x14ac:dyDescent="0.25">
      <c r="B50" s="88"/>
      <c r="C50" s="194" t="e">
        <f>MATCH(A50,Table1[H_A1],0)</f>
        <v>#N/A</v>
      </c>
      <c r="D50" s="194" t="e">
        <f>MATCH(Table5[[#This Row],[NAMA]],[1]!db[NB PAJAK],0)</f>
        <v>#N/A</v>
      </c>
      <c r="E50" t="e">
        <f>INDEX(Table1[Item Description],Table5[[#This Row],[//NOTA]])</f>
        <v>#N/A</v>
      </c>
      <c r="F50">
        <f>SUMIF(Table1[H_A1],Sheet5!A50,Table1[Qty])</f>
        <v>0</v>
      </c>
      <c r="G50" t="e">
        <f>INDEX(Table1[Unit],Table5[[#This Row],[//NOTA]])</f>
        <v>#N/A</v>
      </c>
      <c r="H50" s="195">
        <f>SUMIF(Table1[H_A1],Sheet5!A50,Table1[C])</f>
        <v>0</v>
      </c>
      <c r="I50" s="195" t="e">
        <f>INDEX(Table1[Unit Price],Table5[[#This Row],[//NOTA]])</f>
        <v>#N/A</v>
      </c>
      <c r="J50" s="86" t="e">
        <f>IF(Table5[[#This Row],[a2]]="","",Table5[[#This Row],[QTY]]*12)</f>
        <v>#N/A</v>
      </c>
      <c r="K50" s="86" t="e">
        <f>IF(Table5[[#This Row],[UNIT]]="grs","LSN",IF(Table5[[#This Row],[UNIT]]="LSN","PCS",""))</f>
        <v>#N/A</v>
      </c>
      <c r="L50" s="86" t="e">
        <f>IF(Table5[[#This Row],[a2]]="LSN",Table5[[#This Row],[a1]]*12,"")</f>
        <v>#N/A</v>
      </c>
      <c r="M50" s="86" t="e">
        <f>IF(Table5[[#This Row],[b1]]="","","PCS")</f>
        <v>#N/A</v>
      </c>
      <c r="N50" s="86"/>
      <c r="O50" s="86"/>
    </row>
    <row r="51" spans="2:15" x14ac:dyDescent="0.25">
      <c r="B51" s="88"/>
      <c r="C51" s="194" t="e">
        <f>MATCH(A51,Table1[H_A1],0)</f>
        <v>#N/A</v>
      </c>
      <c r="D51" s="194" t="e">
        <f>MATCH(Table5[[#This Row],[NAMA]],[1]!db[NB PAJAK],0)</f>
        <v>#N/A</v>
      </c>
      <c r="E51" t="e">
        <f>INDEX(Table1[Item Description],Table5[[#This Row],[//NOTA]])</f>
        <v>#N/A</v>
      </c>
      <c r="F51">
        <f>SUMIF(Table1[H_A1],Sheet5!A51,Table1[Qty])</f>
        <v>0</v>
      </c>
      <c r="G51" t="e">
        <f>INDEX(Table1[Unit],Table5[[#This Row],[//NOTA]])</f>
        <v>#N/A</v>
      </c>
      <c r="H51" s="195">
        <f>SUMIF(Table1[H_A1],Sheet5!A51,Table1[C])</f>
        <v>0</v>
      </c>
      <c r="I51" s="195" t="e">
        <f>INDEX(Table1[Unit Price],Table5[[#This Row],[//NOTA]])</f>
        <v>#N/A</v>
      </c>
      <c r="J51" s="86" t="e">
        <f>IF(Table5[[#This Row],[a2]]="","",Table5[[#This Row],[QTY]]*12)</f>
        <v>#N/A</v>
      </c>
      <c r="K51" s="86" t="e">
        <f>IF(Table5[[#This Row],[UNIT]]="grs","LSN",IF(Table5[[#This Row],[UNIT]]="LSN","PCS",""))</f>
        <v>#N/A</v>
      </c>
      <c r="L51" s="86" t="e">
        <f>IF(Table5[[#This Row],[a2]]="LSN",Table5[[#This Row],[a1]]*12,"")</f>
        <v>#N/A</v>
      </c>
      <c r="M51" s="86" t="e">
        <f>IF(Table5[[#This Row],[b1]]="","","PCS")</f>
        <v>#N/A</v>
      </c>
      <c r="N51" s="86"/>
      <c r="O51" s="86"/>
    </row>
    <row r="52" spans="2:15" x14ac:dyDescent="0.25">
      <c r="B52" s="88"/>
      <c r="C52" s="194" t="e">
        <f>MATCH(A52,Table1[H_A1],0)</f>
        <v>#N/A</v>
      </c>
      <c r="D52" s="194" t="e">
        <f>MATCH(Table5[[#This Row],[NAMA]],[1]!db[NB PAJAK],0)</f>
        <v>#N/A</v>
      </c>
      <c r="E52" t="e">
        <f>INDEX(Table1[Item Description],Table5[[#This Row],[//NOTA]])</f>
        <v>#N/A</v>
      </c>
      <c r="F52">
        <f>SUMIF(Table1[H_A1],Sheet5!A52,Table1[Qty])</f>
        <v>0</v>
      </c>
      <c r="G52" t="e">
        <f>INDEX(Table1[Unit],Table5[[#This Row],[//NOTA]])</f>
        <v>#N/A</v>
      </c>
      <c r="H52" s="195">
        <f>SUMIF(Table1[H_A1],Sheet5!A52,Table1[C])</f>
        <v>0</v>
      </c>
      <c r="I52" s="195" t="e">
        <f>INDEX(Table1[Unit Price],Table5[[#This Row],[//NOTA]])</f>
        <v>#N/A</v>
      </c>
      <c r="J52" s="86" t="e">
        <f>IF(Table5[[#This Row],[a2]]="","",Table5[[#This Row],[QTY]]*12)</f>
        <v>#N/A</v>
      </c>
      <c r="K52" s="86" t="e">
        <f>IF(Table5[[#This Row],[UNIT]]="grs","LSN",IF(Table5[[#This Row],[UNIT]]="LSN","PCS",""))</f>
        <v>#N/A</v>
      </c>
      <c r="L52" s="86" t="e">
        <f>IF(Table5[[#This Row],[a2]]="LSN",Table5[[#This Row],[a1]]*12,"")</f>
        <v>#N/A</v>
      </c>
      <c r="M52" s="86" t="e">
        <f>IF(Table5[[#This Row],[b1]]="","","PCS")</f>
        <v>#N/A</v>
      </c>
      <c r="N52" s="86"/>
      <c r="O52" s="86"/>
    </row>
    <row r="53" spans="2:15" x14ac:dyDescent="0.25">
      <c r="B53" s="88"/>
      <c r="C53" s="194" t="e">
        <f>MATCH(A53,Table1[H_A1],0)</f>
        <v>#N/A</v>
      </c>
      <c r="D53" s="194" t="e">
        <f>MATCH(Table5[[#This Row],[NAMA]],[1]!db[NB PAJAK],0)</f>
        <v>#N/A</v>
      </c>
      <c r="E53" t="e">
        <f>INDEX(Table1[Item Description],Table5[[#This Row],[//NOTA]])</f>
        <v>#N/A</v>
      </c>
      <c r="F53">
        <f>SUMIF(Table1[H_A1],Sheet5!A53,Table1[Qty])</f>
        <v>0</v>
      </c>
      <c r="G53" t="e">
        <f>INDEX(Table1[Unit],Table5[[#This Row],[//NOTA]])</f>
        <v>#N/A</v>
      </c>
      <c r="H53" s="195">
        <f>SUMIF(Table1[H_A1],Sheet5!A53,Table1[C])</f>
        <v>0</v>
      </c>
      <c r="I53" s="195" t="e">
        <f>INDEX(Table1[Unit Price],Table5[[#This Row],[//NOTA]])</f>
        <v>#N/A</v>
      </c>
      <c r="J53" s="86" t="e">
        <f>IF(Table5[[#This Row],[a2]]="","",Table5[[#This Row],[QTY]]*12)</f>
        <v>#N/A</v>
      </c>
      <c r="K53" s="86" t="e">
        <f>IF(Table5[[#This Row],[UNIT]]="grs","LSN",IF(Table5[[#This Row],[UNIT]]="LSN","PCS",""))</f>
        <v>#N/A</v>
      </c>
      <c r="L53" s="86" t="e">
        <f>IF(Table5[[#This Row],[a2]]="LSN",Table5[[#This Row],[a1]]*12,"")</f>
        <v>#N/A</v>
      </c>
      <c r="M53" s="86" t="e">
        <f>IF(Table5[[#This Row],[b1]]="","","PCS")</f>
        <v>#N/A</v>
      </c>
      <c r="N53" s="86"/>
      <c r="O53" s="86"/>
    </row>
    <row r="54" spans="2:15" x14ac:dyDescent="0.25">
      <c r="B54" s="88"/>
      <c r="C54" s="194" t="e">
        <f>MATCH(A54,Table1[H_A1],0)</f>
        <v>#N/A</v>
      </c>
      <c r="D54" s="194" t="e">
        <f>MATCH(Table5[[#This Row],[NAMA]],[1]!db[NB PAJAK],0)</f>
        <v>#N/A</v>
      </c>
      <c r="E54" t="e">
        <f>INDEX(Table1[Item Description],Table5[[#This Row],[//NOTA]])</f>
        <v>#N/A</v>
      </c>
      <c r="F54">
        <f>SUMIF(Table1[H_A1],Sheet5!A54,Table1[Qty])</f>
        <v>0</v>
      </c>
      <c r="G54" t="e">
        <f>INDEX(Table1[Unit],Table5[[#This Row],[//NOTA]])</f>
        <v>#N/A</v>
      </c>
      <c r="H54" s="195">
        <f>SUMIF(Table1[H_A1],Sheet5!A54,Table1[C])</f>
        <v>0</v>
      </c>
      <c r="I54" s="195" t="e">
        <f>INDEX(Table1[Unit Price],Table5[[#This Row],[//NOTA]])</f>
        <v>#N/A</v>
      </c>
      <c r="J54" s="86" t="e">
        <f>IF(Table5[[#This Row],[a2]]="","",Table5[[#This Row],[QTY]]*12)</f>
        <v>#N/A</v>
      </c>
      <c r="K54" s="86" t="e">
        <f>IF(Table5[[#This Row],[UNIT]]="grs","LSN",IF(Table5[[#This Row],[UNIT]]="LSN","PCS",""))</f>
        <v>#N/A</v>
      </c>
      <c r="L54" s="86" t="e">
        <f>IF(Table5[[#This Row],[a2]]="LSN",Table5[[#This Row],[a1]]*12,"")</f>
        <v>#N/A</v>
      </c>
      <c r="M54" s="86" t="e">
        <f>IF(Table5[[#This Row],[b1]]="","","PCS")</f>
        <v>#N/A</v>
      </c>
      <c r="N54" s="86"/>
      <c r="O54" s="86"/>
    </row>
    <row r="55" spans="2:15" x14ac:dyDescent="0.25">
      <c r="B55" s="88"/>
      <c r="C55" s="194" t="e">
        <f>MATCH(A55,Table1[H_A1],0)</f>
        <v>#N/A</v>
      </c>
      <c r="D55" s="194" t="e">
        <f>MATCH(Table5[[#This Row],[NAMA]],[1]!db[NB PAJAK],0)</f>
        <v>#N/A</v>
      </c>
      <c r="E55" t="e">
        <f>INDEX(Table1[Item Description],Table5[[#This Row],[//NOTA]])</f>
        <v>#N/A</v>
      </c>
      <c r="F55">
        <f>SUMIF(Table1[H_A1],Sheet5!A55,Table1[Qty])</f>
        <v>0</v>
      </c>
      <c r="G55" t="e">
        <f>INDEX(Table1[Unit],Table5[[#This Row],[//NOTA]])</f>
        <v>#N/A</v>
      </c>
      <c r="H55" s="195">
        <f>SUMIF(Table1[H_A1],Sheet5!A55,Table1[C])</f>
        <v>0</v>
      </c>
      <c r="I55" s="195" t="e">
        <f>INDEX(Table1[Unit Price],Table5[[#This Row],[//NOTA]])</f>
        <v>#N/A</v>
      </c>
      <c r="J55" s="86" t="e">
        <f>IF(Table5[[#This Row],[a2]]="","",Table5[[#This Row],[QTY]]*12)</f>
        <v>#N/A</v>
      </c>
      <c r="K55" s="86" t="e">
        <f>IF(Table5[[#This Row],[UNIT]]="grs","LSN",IF(Table5[[#This Row],[UNIT]]="LSN","PCS",""))</f>
        <v>#N/A</v>
      </c>
      <c r="L55" s="86" t="e">
        <f>IF(Table5[[#This Row],[a2]]="LSN",Table5[[#This Row],[a1]]*12,"")</f>
        <v>#N/A</v>
      </c>
      <c r="M55" s="86" t="e">
        <f>IF(Table5[[#This Row],[b1]]="","","PCS")</f>
        <v>#N/A</v>
      </c>
      <c r="N55" s="86"/>
      <c r="O55" s="86"/>
    </row>
    <row r="56" spans="2:15" x14ac:dyDescent="0.25">
      <c r="B56" s="88"/>
      <c r="C56" s="194" t="e">
        <f>MATCH(A56,Table1[H_A1],0)</f>
        <v>#N/A</v>
      </c>
      <c r="D56" s="194" t="e">
        <f>MATCH(Table5[[#This Row],[NAMA]],[1]!db[NB PAJAK],0)</f>
        <v>#N/A</v>
      </c>
      <c r="E56" t="e">
        <f>INDEX(Table1[Item Description],Table5[[#This Row],[//NOTA]])</f>
        <v>#N/A</v>
      </c>
      <c r="F56">
        <f>SUMIF(Table1[H_A1],Sheet5!A56,Table1[Qty])</f>
        <v>0</v>
      </c>
      <c r="G56" t="e">
        <f>INDEX(Table1[Unit],Table5[[#This Row],[//NOTA]])</f>
        <v>#N/A</v>
      </c>
      <c r="H56" s="195">
        <f>SUMIF(Table1[H_A1],Sheet5!A56,Table1[C])</f>
        <v>0</v>
      </c>
      <c r="I56" s="195" t="e">
        <f>INDEX(Table1[Unit Price],Table5[[#This Row],[//NOTA]])</f>
        <v>#N/A</v>
      </c>
      <c r="J56" s="86" t="e">
        <f>IF(Table5[[#This Row],[a2]]="","",Table5[[#This Row],[QTY]]*12)</f>
        <v>#N/A</v>
      </c>
      <c r="K56" s="86" t="e">
        <f>IF(Table5[[#This Row],[UNIT]]="grs","LSN",IF(Table5[[#This Row],[UNIT]]="LSN","PCS",""))</f>
        <v>#N/A</v>
      </c>
      <c r="L56" s="86" t="e">
        <f>IF(Table5[[#This Row],[a2]]="LSN",Table5[[#This Row],[a1]]*12,"")</f>
        <v>#N/A</v>
      </c>
      <c r="M56" s="86" t="e">
        <f>IF(Table5[[#This Row],[b1]]="","","PCS")</f>
        <v>#N/A</v>
      </c>
      <c r="N56" s="86"/>
      <c r="O56" s="86"/>
    </row>
    <row r="57" spans="2:15" x14ac:dyDescent="0.25">
      <c r="B57" s="88"/>
      <c r="C57" s="194" t="e">
        <f>MATCH(A57,Table1[H_A1],0)</f>
        <v>#N/A</v>
      </c>
      <c r="D57" s="194" t="e">
        <f>MATCH(Table5[[#This Row],[NAMA]],[1]!db[NB PAJAK],0)</f>
        <v>#N/A</v>
      </c>
      <c r="E57" t="e">
        <f>INDEX(Table1[Item Description],Table5[[#This Row],[//NOTA]])</f>
        <v>#N/A</v>
      </c>
      <c r="F57">
        <f>SUMIF(Table1[H_A1],Sheet5!A57,Table1[Qty])</f>
        <v>0</v>
      </c>
      <c r="G57" t="e">
        <f>INDEX(Table1[Unit],Table5[[#This Row],[//NOTA]])</f>
        <v>#N/A</v>
      </c>
      <c r="H57" s="195">
        <f>SUMIF(Table1[H_A1],Sheet5!A57,Table1[C])</f>
        <v>0</v>
      </c>
      <c r="I57" s="195" t="e">
        <f>INDEX(Table1[Unit Price],Table5[[#This Row],[//NOTA]])</f>
        <v>#N/A</v>
      </c>
      <c r="J57" s="86" t="e">
        <f>IF(Table5[[#This Row],[a2]]="","",Table5[[#This Row],[QTY]]*12)</f>
        <v>#N/A</v>
      </c>
      <c r="K57" s="86" t="e">
        <f>IF(Table5[[#This Row],[UNIT]]="grs","LSN",IF(Table5[[#This Row],[UNIT]]="LSN","PCS",""))</f>
        <v>#N/A</v>
      </c>
      <c r="L57" s="86" t="e">
        <f>IF(Table5[[#This Row],[a2]]="LSN",Table5[[#This Row],[a1]]*12,"")</f>
        <v>#N/A</v>
      </c>
      <c r="M57" s="86" t="e">
        <f>IF(Table5[[#This Row],[b1]]="","","PCS")</f>
        <v>#N/A</v>
      </c>
      <c r="N57" s="86"/>
      <c r="O57" s="86"/>
    </row>
    <row r="58" spans="2:15" x14ac:dyDescent="0.25">
      <c r="B58" s="88"/>
      <c r="C58" s="194" t="e">
        <f>MATCH(A58,Table1[H_A1],0)</f>
        <v>#N/A</v>
      </c>
      <c r="D58" s="194" t="e">
        <f>MATCH(Table5[[#This Row],[NAMA]],[1]!db[NB PAJAK],0)</f>
        <v>#N/A</v>
      </c>
      <c r="E58" t="e">
        <f>INDEX(Table1[Item Description],Table5[[#This Row],[//NOTA]])</f>
        <v>#N/A</v>
      </c>
      <c r="F58">
        <f>SUMIF(Table1[H_A1],Sheet5!A58,Table1[Qty])</f>
        <v>0</v>
      </c>
      <c r="G58" t="e">
        <f>INDEX(Table1[Unit],Table5[[#This Row],[//NOTA]])</f>
        <v>#N/A</v>
      </c>
      <c r="H58" s="195">
        <f>SUMIF(Table1[H_A1],Sheet5!A58,Table1[C])</f>
        <v>0</v>
      </c>
      <c r="I58" s="195" t="e">
        <f>INDEX(Table1[Unit Price],Table5[[#This Row],[//NOTA]])</f>
        <v>#N/A</v>
      </c>
      <c r="J58" s="86" t="e">
        <f>IF(Table5[[#This Row],[a2]]="","",Table5[[#This Row],[QTY]]*12)</f>
        <v>#N/A</v>
      </c>
      <c r="K58" s="86" t="e">
        <f>IF(Table5[[#This Row],[UNIT]]="grs","LSN",IF(Table5[[#This Row],[UNIT]]="LSN","PCS",""))</f>
        <v>#N/A</v>
      </c>
      <c r="L58" s="86" t="e">
        <f>IF(Table5[[#This Row],[a2]]="LSN",Table5[[#This Row],[a1]]*12,"")</f>
        <v>#N/A</v>
      </c>
      <c r="M58" s="86" t="e">
        <f>IF(Table5[[#This Row],[b1]]="","","PCS")</f>
        <v>#N/A</v>
      </c>
      <c r="N58" s="86"/>
      <c r="O58" s="86"/>
    </row>
    <row r="59" spans="2:15" x14ac:dyDescent="0.25">
      <c r="B59" s="88"/>
      <c r="C59" s="194" t="e">
        <f>MATCH(A59,Table1[H_A1],0)</f>
        <v>#N/A</v>
      </c>
      <c r="D59" s="194" t="e">
        <f>MATCH(Table5[[#This Row],[NAMA]],[1]!db[NB PAJAK],0)</f>
        <v>#N/A</v>
      </c>
      <c r="E59" t="e">
        <f>INDEX(Table1[Item Description],Table5[[#This Row],[//NOTA]])</f>
        <v>#N/A</v>
      </c>
      <c r="F59">
        <f>SUMIF(Table1[H_A1],Sheet5!A59,Table1[Qty])</f>
        <v>0</v>
      </c>
      <c r="G59" t="e">
        <f>INDEX(Table1[Unit],Table5[[#This Row],[//NOTA]])</f>
        <v>#N/A</v>
      </c>
      <c r="H59" s="195">
        <f>SUMIF(Table1[H_A1],Sheet5!A59,Table1[C])</f>
        <v>0</v>
      </c>
      <c r="I59" s="195" t="e">
        <f>INDEX(Table1[Unit Price],Table5[[#This Row],[//NOTA]])</f>
        <v>#N/A</v>
      </c>
      <c r="J59" s="86" t="e">
        <f>IF(Table5[[#This Row],[a2]]="","",Table5[[#This Row],[QTY]]*12)</f>
        <v>#N/A</v>
      </c>
      <c r="K59" s="86" t="e">
        <f>IF(Table5[[#This Row],[UNIT]]="grs","LSN",IF(Table5[[#This Row],[UNIT]]="LSN","PCS",""))</f>
        <v>#N/A</v>
      </c>
      <c r="L59" s="86" t="e">
        <f>IF(Table5[[#This Row],[a2]]="LSN",Table5[[#This Row],[a1]]*12,"")</f>
        <v>#N/A</v>
      </c>
      <c r="M59" s="86" t="e">
        <f>IF(Table5[[#This Row],[b1]]="","","PCS")</f>
        <v>#N/A</v>
      </c>
      <c r="N59" s="86"/>
      <c r="O59" s="86"/>
    </row>
    <row r="60" spans="2:15" x14ac:dyDescent="0.25">
      <c r="B60" s="88"/>
      <c r="C60" s="194" t="e">
        <f>MATCH(A60,Table1[H_A1],0)</f>
        <v>#N/A</v>
      </c>
      <c r="D60" s="194" t="e">
        <f>MATCH(Table5[[#This Row],[NAMA]],[1]!db[NB PAJAK],0)</f>
        <v>#N/A</v>
      </c>
      <c r="E60" t="e">
        <f>INDEX(Table1[Item Description],Table5[[#This Row],[//NOTA]])</f>
        <v>#N/A</v>
      </c>
      <c r="F60">
        <f>SUMIF(Table1[H_A1],Sheet5!A60,Table1[Qty])</f>
        <v>0</v>
      </c>
      <c r="G60" t="e">
        <f>INDEX(Table1[Unit],Table5[[#This Row],[//NOTA]])</f>
        <v>#N/A</v>
      </c>
      <c r="H60" s="195">
        <f>SUMIF(Table1[H_A1],Sheet5!A60,Table1[C])</f>
        <v>0</v>
      </c>
      <c r="I60" s="195" t="e">
        <f>INDEX(Table1[Unit Price],Table5[[#This Row],[//NOTA]])</f>
        <v>#N/A</v>
      </c>
      <c r="J60" s="86" t="e">
        <f>IF(Table5[[#This Row],[a2]]="","",Table5[[#This Row],[QTY]]*12)</f>
        <v>#N/A</v>
      </c>
      <c r="K60" s="86" t="e">
        <f>IF(Table5[[#This Row],[UNIT]]="grs","LSN",IF(Table5[[#This Row],[UNIT]]="LSN","PCS",""))</f>
        <v>#N/A</v>
      </c>
      <c r="L60" s="86" t="e">
        <f>IF(Table5[[#This Row],[a2]]="LSN",Table5[[#This Row],[a1]]*12,"")</f>
        <v>#N/A</v>
      </c>
      <c r="M60" s="86" t="e">
        <f>IF(Table5[[#This Row],[b1]]="","","PCS")</f>
        <v>#N/A</v>
      </c>
      <c r="N60" s="86"/>
      <c r="O60" s="86"/>
    </row>
    <row r="61" spans="2:15" x14ac:dyDescent="0.25">
      <c r="B61" s="88"/>
      <c r="C61" s="194" t="e">
        <f>MATCH(A61,Table1[H_A1],0)</f>
        <v>#N/A</v>
      </c>
      <c r="D61" s="194" t="e">
        <f>MATCH(Table5[[#This Row],[NAMA]],[1]!db[NB PAJAK],0)</f>
        <v>#N/A</v>
      </c>
      <c r="E61" t="e">
        <f>INDEX(Table1[Item Description],Table5[[#This Row],[//NOTA]])</f>
        <v>#N/A</v>
      </c>
      <c r="F61">
        <f>SUMIF(Table1[H_A1],Sheet5!A61,Table1[Qty])</f>
        <v>0</v>
      </c>
      <c r="G61" t="e">
        <f>INDEX(Table1[Unit],Table5[[#This Row],[//NOTA]])</f>
        <v>#N/A</v>
      </c>
      <c r="H61" s="195">
        <f>SUMIF(Table1[H_A1],Sheet5!A61,Table1[C])</f>
        <v>0</v>
      </c>
      <c r="I61" s="195" t="e">
        <f>INDEX(Table1[Unit Price],Table5[[#This Row],[//NOTA]])</f>
        <v>#N/A</v>
      </c>
      <c r="J61" s="86" t="e">
        <f>IF(Table5[[#This Row],[a2]]="","",Table5[[#This Row],[QTY]]*12)</f>
        <v>#N/A</v>
      </c>
      <c r="K61" s="86" t="e">
        <f>IF(Table5[[#This Row],[UNIT]]="grs","LSN",IF(Table5[[#This Row],[UNIT]]="LSN","PCS",""))</f>
        <v>#N/A</v>
      </c>
      <c r="L61" s="86" t="e">
        <f>IF(Table5[[#This Row],[a2]]="LSN",Table5[[#This Row],[a1]]*12,"")</f>
        <v>#N/A</v>
      </c>
      <c r="M61" s="86" t="e">
        <f>IF(Table5[[#This Row],[b1]]="","","PCS")</f>
        <v>#N/A</v>
      </c>
      <c r="N61" s="86"/>
      <c r="O61" s="86"/>
    </row>
    <row r="62" spans="2:15" x14ac:dyDescent="0.25">
      <c r="B62" s="88"/>
      <c r="C62" s="194" t="e">
        <f>MATCH(A62,Table1[H_A1],0)</f>
        <v>#N/A</v>
      </c>
      <c r="D62" s="194" t="e">
        <f>MATCH(Table5[[#This Row],[NAMA]],[1]!db[NB PAJAK],0)</f>
        <v>#N/A</v>
      </c>
      <c r="E62" t="e">
        <f>INDEX(Table1[Item Description],Table5[[#This Row],[//NOTA]])</f>
        <v>#N/A</v>
      </c>
      <c r="F62">
        <f>SUMIF(Table1[H_A1],Sheet5!A62,Table1[Qty])</f>
        <v>0</v>
      </c>
      <c r="G62" t="e">
        <f>INDEX(Table1[Unit],Table5[[#This Row],[//NOTA]])</f>
        <v>#N/A</v>
      </c>
      <c r="H62" s="195">
        <f>SUMIF(Table1[H_A1],Sheet5!A62,Table1[C])</f>
        <v>0</v>
      </c>
      <c r="I62" s="195" t="e">
        <f>INDEX(Table1[Unit Price],Table5[[#This Row],[//NOTA]])</f>
        <v>#N/A</v>
      </c>
      <c r="J62" s="86" t="e">
        <f>IF(Table5[[#This Row],[a2]]="","",Table5[[#This Row],[QTY]]*12)</f>
        <v>#N/A</v>
      </c>
      <c r="K62" s="86" t="e">
        <f>IF(Table5[[#This Row],[UNIT]]="grs","LSN",IF(Table5[[#This Row],[UNIT]]="LSN","PCS",""))</f>
        <v>#N/A</v>
      </c>
      <c r="L62" s="86" t="e">
        <f>IF(Table5[[#This Row],[a2]]="LSN",Table5[[#This Row],[a1]]*12,"")</f>
        <v>#N/A</v>
      </c>
      <c r="M62" s="86" t="e">
        <f>IF(Table5[[#This Row],[b1]]="","","PCS")</f>
        <v>#N/A</v>
      </c>
      <c r="N62" s="86"/>
      <c r="O62" s="86"/>
    </row>
    <row r="63" spans="2:15" x14ac:dyDescent="0.25">
      <c r="B63" s="88"/>
      <c r="C63" s="194" t="e">
        <f>MATCH(A63,Table1[H_A1],0)</f>
        <v>#N/A</v>
      </c>
      <c r="D63" s="194" t="e">
        <f>MATCH(Table5[[#This Row],[NAMA]],[1]!db[NB PAJAK],0)</f>
        <v>#N/A</v>
      </c>
      <c r="E63" t="e">
        <f>INDEX(Table1[Item Description],Table5[[#This Row],[//NOTA]])</f>
        <v>#N/A</v>
      </c>
      <c r="F63">
        <f>SUMIF(Table1[H_A1],Sheet5!A63,Table1[Qty])</f>
        <v>0</v>
      </c>
      <c r="G63" t="e">
        <f>INDEX(Table1[Unit],Table5[[#This Row],[//NOTA]])</f>
        <v>#N/A</v>
      </c>
      <c r="H63" s="195">
        <f>SUMIF(Table1[H_A1],Sheet5!A63,Table1[C])</f>
        <v>0</v>
      </c>
      <c r="I63" s="195" t="e">
        <f>INDEX(Table1[Unit Price],Table5[[#This Row],[//NOTA]])</f>
        <v>#N/A</v>
      </c>
      <c r="J63" s="86" t="e">
        <f>IF(Table5[[#This Row],[a2]]="","",Table5[[#This Row],[QTY]]*12)</f>
        <v>#N/A</v>
      </c>
      <c r="K63" s="86" t="e">
        <f>IF(Table5[[#This Row],[UNIT]]="grs","LSN",IF(Table5[[#This Row],[UNIT]]="LSN","PCS",""))</f>
        <v>#N/A</v>
      </c>
      <c r="L63" s="86" t="e">
        <f>IF(Table5[[#This Row],[a2]]="LSN",Table5[[#This Row],[a1]]*12,"")</f>
        <v>#N/A</v>
      </c>
      <c r="M63" s="86" t="e">
        <f>IF(Table5[[#This Row],[b1]]="","","PCS")</f>
        <v>#N/A</v>
      </c>
      <c r="N63" s="86"/>
      <c r="O63" s="86"/>
    </row>
    <row r="64" spans="2:15" x14ac:dyDescent="0.25">
      <c r="B64" s="88"/>
      <c r="C64" s="194" t="e">
        <f>MATCH(A64,Table1[H_A1],0)</f>
        <v>#N/A</v>
      </c>
      <c r="D64" s="194" t="e">
        <f>MATCH(Table5[[#This Row],[NAMA]],[1]!db[NB PAJAK],0)</f>
        <v>#N/A</v>
      </c>
      <c r="E64" t="e">
        <f>INDEX(Table1[Item Description],Table5[[#This Row],[//NOTA]])</f>
        <v>#N/A</v>
      </c>
      <c r="F64">
        <f>SUMIF(Table1[H_A1],Sheet5!A64,Table1[Qty])</f>
        <v>0</v>
      </c>
      <c r="G64" t="e">
        <f>INDEX(Table1[Unit],Table5[[#This Row],[//NOTA]])</f>
        <v>#N/A</v>
      </c>
      <c r="H64" s="195">
        <f>SUMIF(Table1[H_A1],Sheet5!A64,Table1[C])</f>
        <v>0</v>
      </c>
      <c r="I64" s="195" t="e">
        <f>INDEX(Table1[Unit Price],Table5[[#This Row],[//NOTA]])</f>
        <v>#N/A</v>
      </c>
      <c r="J64" s="86" t="e">
        <f>IF(Table5[[#This Row],[a2]]="","",Table5[[#This Row],[QTY]]*12)</f>
        <v>#N/A</v>
      </c>
      <c r="K64" s="86" t="e">
        <f>IF(Table5[[#This Row],[UNIT]]="grs","LSN",IF(Table5[[#This Row],[UNIT]]="LSN","PCS",""))</f>
        <v>#N/A</v>
      </c>
      <c r="L64" s="86" t="e">
        <f>IF(Table5[[#This Row],[a2]]="LSN",Table5[[#This Row],[a1]]*12,"")</f>
        <v>#N/A</v>
      </c>
      <c r="M64" s="86" t="e">
        <f>IF(Table5[[#This Row],[b1]]="","","PCS")</f>
        <v>#N/A</v>
      </c>
      <c r="N64" s="86"/>
      <c r="O64" s="86"/>
    </row>
    <row r="65" spans="2:15" x14ac:dyDescent="0.25">
      <c r="B65" s="88"/>
      <c r="C65" s="194" t="e">
        <f>MATCH(A65,Table1[H_A1],0)</f>
        <v>#N/A</v>
      </c>
      <c r="D65" s="194" t="e">
        <f>MATCH(Table5[[#This Row],[NAMA]],[1]!db[NB PAJAK],0)</f>
        <v>#N/A</v>
      </c>
      <c r="E65" t="e">
        <f>INDEX(Table1[Item Description],Table5[[#This Row],[//NOTA]])</f>
        <v>#N/A</v>
      </c>
      <c r="F65">
        <f>SUMIF(Table1[H_A1],Sheet5!A65,Table1[Qty])</f>
        <v>0</v>
      </c>
      <c r="G65" t="e">
        <f>INDEX(Table1[Unit],Table5[[#This Row],[//NOTA]])</f>
        <v>#N/A</v>
      </c>
      <c r="H65" s="195">
        <f>SUMIF(Table1[H_A1],Sheet5!A65,Table1[C])</f>
        <v>0</v>
      </c>
      <c r="I65" s="195" t="e">
        <f>INDEX(Table1[Unit Price],Table5[[#This Row],[//NOTA]])</f>
        <v>#N/A</v>
      </c>
      <c r="J65" s="86" t="e">
        <f>IF(Table5[[#This Row],[a2]]="","",Table5[[#This Row],[QTY]]*12)</f>
        <v>#N/A</v>
      </c>
      <c r="K65" s="86" t="e">
        <f>IF(Table5[[#This Row],[UNIT]]="grs","LSN",IF(Table5[[#This Row],[UNIT]]="LSN","PCS",""))</f>
        <v>#N/A</v>
      </c>
      <c r="L65" s="86" t="e">
        <f>IF(Table5[[#This Row],[a2]]="LSN",Table5[[#This Row],[a1]]*12,"")</f>
        <v>#N/A</v>
      </c>
      <c r="M65" s="86" t="e">
        <f>IF(Table5[[#This Row],[b1]]="","","PCS")</f>
        <v>#N/A</v>
      </c>
      <c r="N65" s="86"/>
      <c r="O65" s="86"/>
    </row>
    <row r="66" spans="2:15" x14ac:dyDescent="0.25">
      <c r="B66" s="88"/>
      <c r="C66" s="194" t="e">
        <f>MATCH(A66,Table1[H_A1],0)</f>
        <v>#N/A</v>
      </c>
      <c r="D66" s="194" t="e">
        <f>MATCH(Table5[[#This Row],[NAMA]],[1]!db[NB PAJAK],0)</f>
        <v>#N/A</v>
      </c>
      <c r="E66" t="e">
        <f>INDEX(Table1[Item Description],Table5[[#This Row],[//NOTA]])</f>
        <v>#N/A</v>
      </c>
      <c r="F66">
        <f>SUMIF(Table1[H_A1],Sheet5!A66,Table1[Qty])</f>
        <v>0</v>
      </c>
      <c r="G66" t="e">
        <f>INDEX(Table1[Unit],Table5[[#This Row],[//NOTA]])</f>
        <v>#N/A</v>
      </c>
      <c r="H66" s="195">
        <f>SUMIF(Table1[H_A1],Sheet5!A66,Table1[C])</f>
        <v>0</v>
      </c>
      <c r="I66" s="195" t="e">
        <f>INDEX(Table1[Unit Price],Table5[[#This Row],[//NOTA]])</f>
        <v>#N/A</v>
      </c>
      <c r="J66" s="86" t="e">
        <f>IF(Table5[[#This Row],[a2]]="","",Table5[[#This Row],[QTY]]*12)</f>
        <v>#N/A</v>
      </c>
      <c r="K66" s="86" t="e">
        <f>IF(Table5[[#This Row],[UNIT]]="grs","LSN",IF(Table5[[#This Row],[UNIT]]="LSN","PCS",""))</f>
        <v>#N/A</v>
      </c>
      <c r="L66" s="86" t="e">
        <f>IF(Table5[[#This Row],[a2]]="LSN",Table5[[#This Row],[a1]]*12,"")</f>
        <v>#N/A</v>
      </c>
      <c r="M66" s="86" t="e">
        <f>IF(Table5[[#This Row],[b1]]="","","PCS")</f>
        <v>#N/A</v>
      </c>
      <c r="N66" s="86"/>
      <c r="O66" s="86"/>
    </row>
    <row r="67" spans="2:15" x14ac:dyDescent="0.25">
      <c r="B67" s="88"/>
      <c r="C67" s="194" t="e">
        <f>MATCH(A67,Table1[H_A1],0)</f>
        <v>#N/A</v>
      </c>
      <c r="D67" s="194" t="e">
        <f>MATCH(Table5[[#This Row],[NAMA]],[1]!db[NB PAJAK],0)</f>
        <v>#N/A</v>
      </c>
      <c r="E67" t="e">
        <f>INDEX(Table1[Item Description],Table5[[#This Row],[//NOTA]])</f>
        <v>#N/A</v>
      </c>
      <c r="F67">
        <f>SUMIF(Table1[H_A1],Sheet5!A67,Table1[Qty])</f>
        <v>0</v>
      </c>
      <c r="G67" t="e">
        <f>INDEX(Table1[Unit],Table5[[#This Row],[//NOTA]])</f>
        <v>#N/A</v>
      </c>
      <c r="H67" s="195">
        <f>SUMIF(Table1[H_A1],Sheet5!A67,Table1[C])</f>
        <v>0</v>
      </c>
      <c r="I67" s="195" t="e">
        <f>INDEX(Table1[Unit Price],Table5[[#This Row],[//NOTA]])</f>
        <v>#N/A</v>
      </c>
      <c r="J67" s="86" t="e">
        <f>IF(Table5[[#This Row],[a2]]="","",Table5[[#This Row],[QTY]]*12)</f>
        <v>#N/A</v>
      </c>
      <c r="K67" s="86" t="e">
        <f>IF(Table5[[#This Row],[UNIT]]="grs","LSN",IF(Table5[[#This Row],[UNIT]]="LSN","PCS",""))</f>
        <v>#N/A</v>
      </c>
      <c r="L67" s="86" t="e">
        <f>IF(Table5[[#This Row],[a2]]="LSN",Table5[[#This Row],[a1]]*12,"")</f>
        <v>#N/A</v>
      </c>
      <c r="M67" s="86" t="e">
        <f>IF(Table5[[#This Row],[b1]]="","","PCS")</f>
        <v>#N/A</v>
      </c>
      <c r="N67" s="86"/>
      <c r="O67" s="86"/>
    </row>
    <row r="68" spans="2:15" x14ac:dyDescent="0.25">
      <c r="B68" s="88"/>
      <c r="C68" s="194" t="e">
        <f>MATCH(A68,Table1[H_A1],0)</f>
        <v>#N/A</v>
      </c>
      <c r="D68" s="194" t="e">
        <f>MATCH(Table5[[#This Row],[NAMA]],[1]!db[NB PAJAK],0)</f>
        <v>#N/A</v>
      </c>
      <c r="E68" t="e">
        <f>INDEX(Table1[Item Description],Table5[[#This Row],[//NOTA]])</f>
        <v>#N/A</v>
      </c>
      <c r="F68">
        <f>SUMIF(Table1[H_A1],Sheet5!A68,Table1[Qty])</f>
        <v>0</v>
      </c>
      <c r="G68" t="e">
        <f>INDEX(Table1[Unit],Table5[[#This Row],[//NOTA]])</f>
        <v>#N/A</v>
      </c>
      <c r="H68" s="195">
        <f>SUMIF(Table1[H_A1],Sheet5!A68,Table1[C])</f>
        <v>0</v>
      </c>
      <c r="I68" s="195" t="e">
        <f>INDEX(Table1[Unit Price],Table5[[#This Row],[//NOTA]])</f>
        <v>#N/A</v>
      </c>
      <c r="J68" s="86" t="e">
        <f>IF(Table5[[#This Row],[a2]]="","",Table5[[#This Row],[QTY]]*12)</f>
        <v>#N/A</v>
      </c>
      <c r="K68" s="86" t="e">
        <f>IF(Table5[[#This Row],[UNIT]]="grs","LSN",IF(Table5[[#This Row],[UNIT]]="LSN","PCS",""))</f>
        <v>#N/A</v>
      </c>
      <c r="L68" s="86" t="e">
        <f>IF(Table5[[#This Row],[a2]]="LSN",Table5[[#This Row],[a1]]*12,"")</f>
        <v>#N/A</v>
      </c>
      <c r="M68" s="86" t="e">
        <f>IF(Table5[[#This Row],[b1]]="","","PCS")</f>
        <v>#N/A</v>
      </c>
      <c r="N68" s="86"/>
      <c r="O68" s="86"/>
    </row>
    <row r="69" spans="2:15" x14ac:dyDescent="0.25">
      <c r="B69" s="88"/>
      <c r="C69" s="194" t="e">
        <f>MATCH(A69,Table1[H_A1],0)</f>
        <v>#N/A</v>
      </c>
      <c r="D69" s="194" t="e">
        <f>MATCH(Table5[[#This Row],[NAMA]],[1]!db[NB PAJAK],0)</f>
        <v>#N/A</v>
      </c>
      <c r="E69" t="e">
        <f>INDEX(Table1[Item Description],Table5[[#This Row],[//NOTA]])</f>
        <v>#N/A</v>
      </c>
      <c r="F69">
        <f>SUMIF(Table1[H_A1],Sheet5!A69,Table1[Qty])</f>
        <v>0</v>
      </c>
      <c r="G69" t="e">
        <f>INDEX(Table1[Unit],Table5[[#This Row],[//NOTA]])</f>
        <v>#N/A</v>
      </c>
      <c r="H69" s="195">
        <f>SUMIF(Table1[H_A1],Sheet5!A69,Table1[C])</f>
        <v>0</v>
      </c>
      <c r="I69" s="195" t="e">
        <f>INDEX(Table1[Unit Price],Table5[[#This Row],[//NOTA]])</f>
        <v>#N/A</v>
      </c>
      <c r="J69" s="86" t="e">
        <f>IF(Table5[[#This Row],[a2]]="","",Table5[[#This Row],[QTY]]*12)</f>
        <v>#N/A</v>
      </c>
      <c r="K69" s="86" t="e">
        <f>IF(Table5[[#This Row],[UNIT]]="grs","LSN",IF(Table5[[#This Row],[UNIT]]="LSN","PCS",""))</f>
        <v>#N/A</v>
      </c>
      <c r="L69" s="86" t="e">
        <f>IF(Table5[[#This Row],[a2]]="LSN",Table5[[#This Row],[a1]]*12,"")</f>
        <v>#N/A</v>
      </c>
      <c r="M69" s="86" t="e">
        <f>IF(Table5[[#This Row],[b1]]="","","PCS")</f>
        <v>#N/A</v>
      </c>
      <c r="N69" s="86"/>
      <c r="O69" s="86"/>
    </row>
    <row r="70" spans="2:15" x14ac:dyDescent="0.25">
      <c r="B70" s="88"/>
      <c r="C70" s="194" t="e">
        <f>MATCH(A70,Table1[H_A1],0)</f>
        <v>#N/A</v>
      </c>
      <c r="D70" s="194" t="e">
        <f>MATCH(Table5[[#This Row],[NAMA]],[1]!db[NB PAJAK],0)</f>
        <v>#N/A</v>
      </c>
      <c r="E70" t="e">
        <f>INDEX(Table1[Item Description],Table5[[#This Row],[//NOTA]])</f>
        <v>#N/A</v>
      </c>
      <c r="F70">
        <f>SUMIF(Table1[H_A1],Sheet5!A70,Table1[Qty])</f>
        <v>0</v>
      </c>
      <c r="G70" t="e">
        <f>INDEX(Table1[Unit],Table5[[#This Row],[//NOTA]])</f>
        <v>#N/A</v>
      </c>
      <c r="H70" s="195">
        <f>SUMIF(Table1[H_A1],Sheet5!A70,Table1[C])</f>
        <v>0</v>
      </c>
      <c r="I70" s="195" t="e">
        <f>INDEX(Table1[Unit Price],Table5[[#This Row],[//NOTA]])</f>
        <v>#N/A</v>
      </c>
      <c r="J70" s="86" t="e">
        <f>IF(Table5[[#This Row],[a2]]="","",Table5[[#This Row],[QTY]]*12)</f>
        <v>#N/A</v>
      </c>
      <c r="K70" s="86" t="e">
        <f>IF(Table5[[#This Row],[UNIT]]="grs","LSN",IF(Table5[[#This Row],[UNIT]]="LSN","PCS",""))</f>
        <v>#N/A</v>
      </c>
      <c r="L70" s="86" t="e">
        <f>IF(Table5[[#This Row],[a2]]="LSN",Table5[[#This Row],[a1]]*12,"")</f>
        <v>#N/A</v>
      </c>
      <c r="M70" s="86" t="e">
        <f>IF(Table5[[#This Row],[b1]]="","","PCS")</f>
        <v>#N/A</v>
      </c>
      <c r="N70" s="86"/>
      <c r="O70" s="86"/>
    </row>
    <row r="71" spans="2:15" x14ac:dyDescent="0.25">
      <c r="B71" s="88"/>
      <c r="C71" s="194" t="e">
        <f>MATCH(A71,Table1[H_A1],0)</f>
        <v>#N/A</v>
      </c>
      <c r="D71" s="194" t="e">
        <f>MATCH(Table5[[#This Row],[NAMA]],[1]!db[NB PAJAK],0)</f>
        <v>#N/A</v>
      </c>
      <c r="E71" t="e">
        <f>INDEX(Table1[Item Description],Table5[[#This Row],[//NOTA]])</f>
        <v>#N/A</v>
      </c>
      <c r="F71">
        <f>SUMIF(Table1[H_A1],Sheet5!A71,Table1[Qty])</f>
        <v>0</v>
      </c>
      <c r="G71" t="e">
        <f>INDEX(Table1[Unit],Table5[[#This Row],[//NOTA]])</f>
        <v>#N/A</v>
      </c>
      <c r="H71" s="195">
        <f>SUMIF(Table1[H_A1],Sheet5!A71,Table1[C])</f>
        <v>0</v>
      </c>
      <c r="I71" s="195" t="e">
        <f>INDEX(Table1[Unit Price],Table5[[#This Row],[//NOTA]])</f>
        <v>#N/A</v>
      </c>
      <c r="J71" s="86" t="e">
        <f>IF(Table5[[#This Row],[a2]]="","",Table5[[#This Row],[QTY]]*12)</f>
        <v>#N/A</v>
      </c>
      <c r="K71" s="86" t="e">
        <f>IF(Table5[[#This Row],[UNIT]]="grs","LSN",IF(Table5[[#This Row],[UNIT]]="LSN","PCS",""))</f>
        <v>#N/A</v>
      </c>
      <c r="L71" s="86" t="e">
        <f>IF(Table5[[#This Row],[a2]]="LSN",Table5[[#This Row],[a1]]*12,"")</f>
        <v>#N/A</v>
      </c>
      <c r="M71" s="86" t="e">
        <f>IF(Table5[[#This Row],[b1]]="","","PCS")</f>
        <v>#N/A</v>
      </c>
      <c r="N71" s="86"/>
      <c r="O71" s="86"/>
    </row>
    <row r="72" spans="2:15" x14ac:dyDescent="0.25">
      <c r="B72" s="88"/>
      <c r="C72" s="194" t="e">
        <f>MATCH(A72,Table1[H_A1],0)</f>
        <v>#N/A</v>
      </c>
      <c r="D72" s="194" t="e">
        <f>MATCH(Table5[[#This Row],[NAMA]],[1]!db[NB PAJAK],0)</f>
        <v>#N/A</v>
      </c>
      <c r="E72" t="e">
        <f>INDEX(Table1[Item Description],Table5[[#This Row],[//NOTA]])</f>
        <v>#N/A</v>
      </c>
      <c r="F72">
        <f>SUMIF(Table1[H_A1],Sheet5!A72,Table1[Qty])</f>
        <v>0</v>
      </c>
      <c r="G72" t="e">
        <f>INDEX(Table1[Unit],Table5[[#This Row],[//NOTA]])</f>
        <v>#N/A</v>
      </c>
      <c r="H72" s="195">
        <f>SUMIF(Table1[H_A1],Sheet5!A72,Table1[C])</f>
        <v>0</v>
      </c>
      <c r="I72" s="195" t="e">
        <f>INDEX(Table1[Unit Price],Table5[[#This Row],[//NOTA]])</f>
        <v>#N/A</v>
      </c>
      <c r="J72" s="86" t="e">
        <f>IF(Table5[[#This Row],[a2]]="","",Table5[[#This Row],[QTY]]*12)</f>
        <v>#N/A</v>
      </c>
      <c r="K72" s="86" t="e">
        <f>IF(Table5[[#This Row],[UNIT]]="grs","LSN",IF(Table5[[#This Row],[UNIT]]="LSN","PCS",""))</f>
        <v>#N/A</v>
      </c>
      <c r="L72" s="86" t="e">
        <f>IF(Table5[[#This Row],[a2]]="LSN",Table5[[#This Row],[a1]]*12,"")</f>
        <v>#N/A</v>
      </c>
      <c r="M72" s="86" t="e">
        <f>IF(Table5[[#This Row],[b1]]="","","PCS")</f>
        <v>#N/A</v>
      </c>
      <c r="N72" s="86"/>
      <c r="O72" s="86"/>
    </row>
    <row r="73" spans="2:15" x14ac:dyDescent="0.25">
      <c r="B73" s="88"/>
      <c r="C73" s="194" t="e">
        <f>MATCH(A73,Table1[H_A1],0)</f>
        <v>#N/A</v>
      </c>
      <c r="D73" s="194" t="e">
        <f>MATCH(Table5[[#This Row],[NAMA]],[1]!db[NB PAJAK],0)</f>
        <v>#N/A</v>
      </c>
      <c r="E73" t="e">
        <f>INDEX(Table1[Item Description],Table5[[#This Row],[//NOTA]])</f>
        <v>#N/A</v>
      </c>
      <c r="F73">
        <f>SUMIF(Table1[H_A1],Sheet5!A73,Table1[Qty])</f>
        <v>0</v>
      </c>
      <c r="G73" t="e">
        <f>INDEX(Table1[Unit],Table5[[#This Row],[//NOTA]])</f>
        <v>#N/A</v>
      </c>
      <c r="H73" s="195">
        <f>SUMIF(Table1[H_A1],Sheet5!A73,Table1[C])</f>
        <v>0</v>
      </c>
      <c r="I73" s="195" t="e">
        <f>INDEX(Table1[Unit Price],Table5[[#This Row],[//NOTA]])</f>
        <v>#N/A</v>
      </c>
      <c r="J73" s="86" t="e">
        <f>IF(Table5[[#This Row],[a2]]="","",Table5[[#This Row],[QTY]]*12)</f>
        <v>#N/A</v>
      </c>
      <c r="K73" s="86" t="e">
        <f>IF(Table5[[#This Row],[UNIT]]="grs","LSN",IF(Table5[[#This Row],[UNIT]]="LSN","PCS",""))</f>
        <v>#N/A</v>
      </c>
      <c r="L73" s="86" t="e">
        <f>IF(Table5[[#This Row],[a2]]="LSN",Table5[[#This Row],[a1]]*12,"")</f>
        <v>#N/A</v>
      </c>
      <c r="M73" s="86" t="e">
        <f>IF(Table5[[#This Row],[b1]]="","","PCS")</f>
        <v>#N/A</v>
      </c>
      <c r="N73" s="86"/>
      <c r="O73" s="86"/>
    </row>
    <row r="74" spans="2:15" x14ac:dyDescent="0.25">
      <c r="B74" s="88"/>
      <c r="C74" s="194" t="e">
        <f>MATCH(A74,Table1[H_A1],0)</f>
        <v>#N/A</v>
      </c>
      <c r="D74" s="194" t="e">
        <f>MATCH(Table5[[#This Row],[NAMA]],[1]!db[NB PAJAK],0)</f>
        <v>#N/A</v>
      </c>
      <c r="E74" t="e">
        <f>INDEX(Table1[Item Description],Table5[[#This Row],[//NOTA]])</f>
        <v>#N/A</v>
      </c>
      <c r="F74">
        <f>SUMIF(Table1[H_A1],Sheet5!A74,Table1[Qty])</f>
        <v>0</v>
      </c>
      <c r="G74" t="e">
        <f>INDEX(Table1[Unit],Table5[[#This Row],[//NOTA]])</f>
        <v>#N/A</v>
      </c>
      <c r="H74" s="195">
        <f>SUMIF(Table1[H_A1],Sheet5!A74,Table1[C])</f>
        <v>0</v>
      </c>
      <c r="I74" s="195" t="e">
        <f>INDEX(Table1[Unit Price],Table5[[#This Row],[//NOTA]])</f>
        <v>#N/A</v>
      </c>
      <c r="J74" s="86" t="e">
        <f>IF(Table5[[#This Row],[a2]]="","",Table5[[#This Row],[QTY]]*12)</f>
        <v>#N/A</v>
      </c>
      <c r="K74" s="86" t="e">
        <f>IF(Table5[[#This Row],[UNIT]]="grs","LSN",IF(Table5[[#This Row],[UNIT]]="LSN","PCS",""))</f>
        <v>#N/A</v>
      </c>
      <c r="L74" s="86" t="e">
        <f>IF(Table5[[#This Row],[a2]]="LSN",Table5[[#This Row],[a1]]*12,"")</f>
        <v>#N/A</v>
      </c>
      <c r="M74" s="86" t="e">
        <f>IF(Table5[[#This Row],[b1]]="","","PCS")</f>
        <v>#N/A</v>
      </c>
      <c r="N74" s="86"/>
      <c r="O74" s="86"/>
    </row>
    <row r="75" spans="2:15" x14ac:dyDescent="0.25">
      <c r="B75" s="88"/>
      <c r="C75" s="194" t="e">
        <f>MATCH(A75,Table1[H_A1],0)</f>
        <v>#N/A</v>
      </c>
      <c r="D75" s="194" t="e">
        <f>MATCH(Table5[[#This Row],[NAMA]],[1]!db[NB PAJAK],0)</f>
        <v>#N/A</v>
      </c>
      <c r="E75" t="e">
        <f>INDEX(Table1[Item Description],Table5[[#This Row],[//NOTA]])</f>
        <v>#N/A</v>
      </c>
      <c r="F75">
        <f>SUMIF(Table1[H_A1],Sheet5!A75,Table1[Qty])</f>
        <v>0</v>
      </c>
      <c r="G75" t="e">
        <f>INDEX(Table1[Unit],Table5[[#This Row],[//NOTA]])</f>
        <v>#N/A</v>
      </c>
      <c r="H75" s="195">
        <f>SUMIF(Table1[H_A1],Sheet5!A75,Table1[C])</f>
        <v>0</v>
      </c>
      <c r="I75" s="195" t="e">
        <f>INDEX(Table1[Unit Price],Table5[[#This Row],[//NOTA]])</f>
        <v>#N/A</v>
      </c>
      <c r="J75" s="86" t="e">
        <f>IF(Table5[[#This Row],[a2]]="","",Table5[[#This Row],[QTY]]*12)</f>
        <v>#N/A</v>
      </c>
      <c r="K75" s="86" t="e">
        <f>IF(Table5[[#This Row],[UNIT]]="grs","LSN",IF(Table5[[#This Row],[UNIT]]="LSN","PCS",""))</f>
        <v>#N/A</v>
      </c>
      <c r="L75" s="86" t="e">
        <f>IF(Table5[[#This Row],[a2]]="LSN",Table5[[#This Row],[a1]]*12,"")</f>
        <v>#N/A</v>
      </c>
      <c r="M75" s="86" t="e">
        <f>IF(Table5[[#This Row],[b1]]="","","PCS")</f>
        <v>#N/A</v>
      </c>
      <c r="N75" s="86"/>
      <c r="O75" s="86"/>
    </row>
    <row r="76" spans="2:15" x14ac:dyDescent="0.25">
      <c r="B76" s="88"/>
      <c r="C76" s="194" t="e">
        <f>MATCH(A76,Table1[H_A1],0)</f>
        <v>#N/A</v>
      </c>
      <c r="D76" s="194" t="e">
        <f>MATCH(Table5[[#This Row],[NAMA]],[1]!db[NB PAJAK],0)</f>
        <v>#N/A</v>
      </c>
      <c r="E76" t="e">
        <f>INDEX(Table1[Item Description],Table5[[#This Row],[//NOTA]])</f>
        <v>#N/A</v>
      </c>
      <c r="F76">
        <f>SUMIF(Table1[H_A1],Sheet5!A76,Table1[Qty])</f>
        <v>0</v>
      </c>
      <c r="G76" t="e">
        <f>INDEX(Table1[Unit],Table5[[#This Row],[//NOTA]])</f>
        <v>#N/A</v>
      </c>
      <c r="H76" s="195">
        <f>SUMIF(Table1[H_A1],Sheet5!A76,Table1[C])</f>
        <v>0</v>
      </c>
      <c r="I76" s="195" t="e">
        <f>INDEX(Table1[Unit Price],Table5[[#This Row],[//NOTA]])</f>
        <v>#N/A</v>
      </c>
      <c r="J76" s="86" t="e">
        <f>IF(Table5[[#This Row],[a2]]="","",Table5[[#This Row],[QTY]]*12)</f>
        <v>#N/A</v>
      </c>
      <c r="K76" s="86" t="e">
        <f>IF(Table5[[#This Row],[UNIT]]="grs","LSN",IF(Table5[[#This Row],[UNIT]]="LSN","PCS",""))</f>
        <v>#N/A</v>
      </c>
      <c r="L76" s="86" t="e">
        <f>IF(Table5[[#This Row],[a2]]="LSN",Table5[[#This Row],[a1]]*12,"")</f>
        <v>#N/A</v>
      </c>
      <c r="M76" s="86" t="e">
        <f>IF(Table5[[#This Row],[b1]]="","","PCS")</f>
        <v>#N/A</v>
      </c>
      <c r="N76" s="86"/>
      <c r="O76" s="86"/>
    </row>
    <row r="77" spans="2:15" x14ac:dyDescent="0.25">
      <c r="B77" s="88"/>
      <c r="C77" s="194" t="e">
        <f>MATCH(A77,Table1[H_A1],0)</f>
        <v>#N/A</v>
      </c>
      <c r="D77" s="194" t="e">
        <f>MATCH(Table5[[#This Row],[NAMA]],[1]!db[NB PAJAK],0)</f>
        <v>#N/A</v>
      </c>
      <c r="E77" t="e">
        <f>INDEX(Table1[Item Description],Table5[[#This Row],[//NOTA]])</f>
        <v>#N/A</v>
      </c>
      <c r="F77">
        <f>SUMIF(Table1[H_A1],Sheet5!A77,Table1[Qty])</f>
        <v>0</v>
      </c>
      <c r="G77" t="e">
        <f>INDEX(Table1[Unit],Table5[[#This Row],[//NOTA]])</f>
        <v>#N/A</v>
      </c>
      <c r="H77" s="195">
        <f>SUMIF(Table1[H_A1],Sheet5!A77,Table1[C])</f>
        <v>0</v>
      </c>
      <c r="I77" s="195" t="e">
        <f>INDEX(Table1[Unit Price],Table5[[#This Row],[//NOTA]])</f>
        <v>#N/A</v>
      </c>
      <c r="J77" s="86" t="e">
        <f>IF(Table5[[#This Row],[a2]]="","",Table5[[#This Row],[QTY]]*12)</f>
        <v>#N/A</v>
      </c>
      <c r="K77" s="86" t="e">
        <f>IF(Table5[[#This Row],[UNIT]]="grs","LSN",IF(Table5[[#This Row],[UNIT]]="LSN","PCS",""))</f>
        <v>#N/A</v>
      </c>
      <c r="L77" s="86" t="e">
        <f>IF(Table5[[#This Row],[a2]]="LSN",Table5[[#This Row],[a1]]*12,"")</f>
        <v>#N/A</v>
      </c>
      <c r="M77" s="86" t="e">
        <f>IF(Table5[[#This Row],[b1]]="","","PCS")</f>
        <v>#N/A</v>
      </c>
      <c r="N77" s="86"/>
      <c r="O77" s="86"/>
    </row>
    <row r="78" spans="2:15" x14ac:dyDescent="0.25">
      <c r="B78" s="88"/>
      <c r="C78" s="194" t="e">
        <f>MATCH(A78,Table1[H_A1],0)</f>
        <v>#N/A</v>
      </c>
      <c r="D78" s="194" t="e">
        <f>MATCH(Table5[[#This Row],[NAMA]],[1]!db[NB PAJAK],0)</f>
        <v>#N/A</v>
      </c>
      <c r="E78" t="e">
        <f>INDEX(Table1[Item Description],Table5[[#This Row],[//NOTA]])</f>
        <v>#N/A</v>
      </c>
      <c r="F78">
        <f>SUMIF(Table1[H_A1],Sheet5!A78,Table1[Qty])</f>
        <v>0</v>
      </c>
      <c r="G78" t="e">
        <f>INDEX(Table1[Unit],Table5[[#This Row],[//NOTA]])</f>
        <v>#N/A</v>
      </c>
      <c r="H78" s="195">
        <f>SUMIF(Table1[H_A1],Sheet5!A78,Table1[C])</f>
        <v>0</v>
      </c>
      <c r="I78" s="195" t="e">
        <f>INDEX(Table1[Unit Price],Table5[[#This Row],[//NOTA]])</f>
        <v>#N/A</v>
      </c>
      <c r="J78" s="86" t="e">
        <f>IF(Table5[[#This Row],[a2]]="","",Table5[[#This Row],[QTY]]*12)</f>
        <v>#N/A</v>
      </c>
      <c r="K78" s="86" t="e">
        <f>IF(Table5[[#This Row],[UNIT]]="grs","LSN",IF(Table5[[#This Row],[UNIT]]="LSN","PCS",""))</f>
        <v>#N/A</v>
      </c>
      <c r="L78" s="86" t="e">
        <f>IF(Table5[[#This Row],[a2]]="LSN",Table5[[#This Row],[a1]]*12,"")</f>
        <v>#N/A</v>
      </c>
      <c r="M78" s="86" t="e">
        <f>IF(Table5[[#This Row],[b1]]="","","PCS")</f>
        <v>#N/A</v>
      </c>
      <c r="N78" s="86"/>
      <c r="O78" s="86"/>
    </row>
    <row r="79" spans="2:15" x14ac:dyDescent="0.25">
      <c r="B79" s="88"/>
      <c r="C79" s="194" t="e">
        <f>MATCH(A79,Table1[H_A1],0)</f>
        <v>#N/A</v>
      </c>
      <c r="D79" s="194" t="e">
        <f>MATCH(Table5[[#This Row],[NAMA]],[1]!db[NB PAJAK],0)</f>
        <v>#N/A</v>
      </c>
      <c r="E79" t="e">
        <f>INDEX(Table1[Item Description],Table5[[#This Row],[//NOTA]])</f>
        <v>#N/A</v>
      </c>
      <c r="F79">
        <f>SUMIF(Table1[H_A1],Sheet5!A79,Table1[Qty])</f>
        <v>0</v>
      </c>
      <c r="G79" t="e">
        <f>INDEX(Table1[Unit],Table5[[#This Row],[//NOTA]])</f>
        <v>#N/A</v>
      </c>
      <c r="H79" s="195">
        <f>SUMIF(Table1[H_A1],Sheet5!A79,Table1[C])</f>
        <v>0</v>
      </c>
      <c r="I79" s="195" t="e">
        <f>INDEX(Table1[Unit Price],Table5[[#This Row],[//NOTA]])</f>
        <v>#N/A</v>
      </c>
      <c r="J79" s="86" t="e">
        <f>IF(Table5[[#This Row],[a2]]="","",Table5[[#This Row],[QTY]]*12)</f>
        <v>#N/A</v>
      </c>
      <c r="K79" s="86" t="e">
        <f>IF(Table5[[#This Row],[UNIT]]="grs","LSN",IF(Table5[[#This Row],[UNIT]]="LSN","PCS",""))</f>
        <v>#N/A</v>
      </c>
      <c r="L79" s="86" t="e">
        <f>IF(Table5[[#This Row],[a2]]="LSN",Table5[[#This Row],[a1]]*12,"")</f>
        <v>#N/A</v>
      </c>
      <c r="M79" s="86" t="e">
        <f>IF(Table5[[#This Row],[b1]]="","","PCS")</f>
        <v>#N/A</v>
      </c>
      <c r="N79" s="86"/>
      <c r="O79" s="86"/>
    </row>
    <row r="80" spans="2:15" x14ac:dyDescent="0.25">
      <c r="B80" s="88"/>
      <c r="C80" s="194" t="e">
        <f>MATCH(A80,Table1[H_A1],0)</f>
        <v>#N/A</v>
      </c>
      <c r="D80" s="194" t="e">
        <f>MATCH(Table5[[#This Row],[NAMA]],[1]!db[NB PAJAK],0)</f>
        <v>#N/A</v>
      </c>
      <c r="E80" t="e">
        <f>INDEX(Table1[Item Description],Table5[[#This Row],[//NOTA]])</f>
        <v>#N/A</v>
      </c>
      <c r="F80">
        <f>SUMIF(Table1[H_A1],Sheet5!A80,Table1[Qty])</f>
        <v>0</v>
      </c>
      <c r="G80" t="e">
        <f>INDEX(Table1[Unit],Table5[[#This Row],[//NOTA]])</f>
        <v>#N/A</v>
      </c>
      <c r="H80" s="195">
        <f>SUMIF(Table1[H_A1],Sheet5!A80,Table1[C])</f>
        <v>0</v>
      </c>
      <c r="I80" s="195" t="e">
        <f>INDEX(Table1[Unit Price],Table5[[#This Row],[//NOTA]])</f>
        <v>#N/A</v>
      </c>
      <c r="J80" s="86" t="e">
        <f>IF(Table5[[#This Row],[a2]]="","",Table5[[#This Row],[QTY]]*12)</f>
        <v>#N/A</v>
      </c>
      <c r="K80" s="86" t="e">
        <f>IF(Table5[[#This Row],[UNIT]]="grs","LSN",IF(Table5[[#This Row],[UNIT]]="LSN","PCS",""))</f>
        <v>#N/A</v>
      </c>
      <c r="L80" s="86" t="e">
        <f>IF(Table5[[#This Row],[a2]]="LSN",Table5[[#This Row],[a1]]*12,"")</f>
        <v>#N/A</v>
      </c>
      <c r="M80" s="86" t="e">
        <f>IF(Table5[[#This Row],[b1]]="","","PCS")</f>
        <v>#N/A</v>
      </c>
      <c r="N80" s="86"/>
      <c r="O80" s="86"/>
    </row>
    <row r="81" spans="2:15" x14ac:dyDescent="0.25">
      <c r="B81" s="88"/>
      <c r="C81" s="194" t="e">
        <f>MATCH(A81,Table1[H_A1],0)</f>
        <v>#N/A</v>
      </c>
      <c r="D81" s="194" t="e">
        <f>MATCH(Table5[[#This Row],[NAMA]],[1]!db[NB PAJAK],0)</f>
        <v>#N/A</v>
      </c>
      <c r="E81" t="e">
        <f>INDEX(Table1[Item Description],Table5[[#This Row],[//NOTA]])</f>
        <v>#N/A</v>
      </c>
      <c r="F81">
        <f>SUMIF(Table1[H_A1],Sheet5!A81,Table1[Qty])</f>
        <v>0</v>
      </c>
      <c r="G81" t="e">
        <f>INDEX(Table1[Unit],Table5[[#This Row],[//NOTA]])</f>
        <v>#N/A</v>
      </c>
      <c r="H81" s="195">
        <f>SUMIF(Table1[H_A1],Sheet5!A81,Table1[C])</f>
        <v>0</v>
      </c>
      <c r="I81" s="195" t="e">
        <f>INDEX(Table1[Unit Price],Table5[[#This Row],[//NOTA]])</f>
        <v>#N/A</v>
      </c>
      <c r="J81" s="86" t="e">
        <f>IF(Table5[[#This Row],[a2]]="","",Table5[[#This Row],[QTY]]*12)</f>
        <v>#N/A</v>
      </c>
      <c r="K81" s="86" t="e">
        <f>IF(Table5[[#This Row],[UNIT]]="grs","LSN",IF(Table5[[#This Row],[UNIT]]="LSN","PCS",""))</f>
        <v>#N/A</v>
      </c>
      <c r="L81" s="86" t="e">
        <f>IF(Table5[[#This Row],[a2]]="LSN",Table5[[#This Row],[a1]]*12,"")</f>
        <v>#N/A</v>
      </c>
      <c r="M81" s="86" t="e">
        <f>IF(Table5[[#This Row],[b1]]="","","PCS")</f>
        <v>#N/A</v>
      </c>
      <c r="N81" s="86"/>
      <c r="O81" s="86"/>
    </row>
    <row r="82" spans="2:15" x14ac:dyDescent="0.25">
      <c r="B82" s="88"/>
      <c r="C82" s="194" t="e">
        <f>MATCH(A82,Table1[H_A1],0)</f>
        <v>#N/A</v>
      </c>
      <c r="D82" s="194" t="e">
        <f>MATCH(Table5[[#This Row],[NAMA]],[1]!db[NB PAJAK],0)</f>
        <v>#N/A</v>
      </c>
      <c r="E82" t="e">
        <f>INDEX(Table1[Item Description],Table5[[#This Row],[//NOTA]])</f>
        <v>#N/A</v>
      </c>
      <c r="F82">
        <f>SUMIF(Table1[H_A1],Sheet5!A82,Table1[Qty])</f>
        <v>0</v>
      </c>
      <c r="G82" t="e">
        <f>INDEX(Table1[Unit],Table5[[#This Row],[//NOTA]])</f>
        <v>#N/A</v>
      </c>
      <c r="H82" s="195">
        <f>SUMIF(Table1[H_A1],Sheet5!A82,Table1[C])</f>
        <v>0</v>
      </c>
      <c r="I82" s="195" t="e">
        <f>INDEX(Table1[Unit Price],Table5[[#This Row],[//NOTA]])</f>
        <v>#N/A</v>
      </c>
      <c r="J82" s="86" t="e">
        <f>IF(Table5[[#This Row],[a2]]="","",Table5[[#This Row],[QTY]]*12)</f>
        <v>#N/A</v>
      </c>
      <c r="K82" s="86" t="e">
        <f>IF(Table5[[#This Row],[UNIT]]="grs","LSN",IF(Table5[[#This Row],[UNIT]]="LSN","PCS",""))</f>
        <v>#N/A</v>
      </c>
      <c r="L82" s="86" t="e">
        <f>IF(Table5[[#This Row],[a2]]="LSN",Table5[[#This Row],[a1]]*12,"")</f>
        <v>#N/A</v>
      </c>
      <c r="M82" s="86" t="e">
        <f>IF(Table5[[#This Row],[b1]]="","","PCS")</f>
        <v>#N/A</v>
      </c>
      <c r="N82" s="86"/>
      <c r="O82" s="86"/>
    </row>
    <row r="83" spans="2:15" x14ac:dyDescent="0.25">
      <c r="B83" s="88"/>
      <c r="C83" s="194" t="e">
        <f>MATCH(A83,Table1[H_A1],0)</f>
        <v>#N/A</v>
      </c>
      <c r="D83" s="194" t="e">
        <f>MATCH(Table5[[#This Row],[NAMA]],[1]!db[NB PAJAK],0)</f>
        <v>#N/A</v>
      </c>
      <c r="E83" t="e">
        <f>INDEX(Table1[Item Description],Table5[[#This Row],[//NOTA]])</f>
        <v>#N/A</v>
      </c>
      <c r="F83">
        <f>SUMIF(Table1[H_A1],Sheet5!A83,Table1[Qty])</f>
        <v>0</v>
      </c>
      <c r="G83" t="e">
        <f>INDEX(Table1[Unit],Table5[[#This Row],[//NOTA]])</f>
        <v>#N/A</v>
      </c>
      <c r="H83" s="195">
        <f>SUMIF(Table1[H_A1],Sheet5!A83,Table1[C])</f>
        <v>0</v>
      </c>
      <c r="I83" s="195" t="e">
        <f>INDEX(Table1[Unit Price],Table5[[#This Row],[//NOTA]])</f>
        <v>#N/A</v>
      </c>
      <c r="J83" s="86" t="e">
        <f>IF(Table5[[#This Row],[a2]]="","",Table5[[#This Row],[QTY]]*12)</f>
        <v>#N/A</v>
      </c>
      <c r="K83" s="86" t="e">
        <f>IF(Table5[[#This Row],[UNIT]]="grs","LSN",IF(Table5[[#This Row],[UNIT]]="LSN","PCS",""))</f>
        <v>#N/A</v>
      </c>
      <c r="L83" s="86" t="e">
        <f>IF(Table5[[#This Row],[a2]]="LSN",Table5[[#This Row],[a1]]*12,"")</f>
        <v>#N/A</v>
      </c>
      <c r="M83" s="86" t="e">
        <f>IF(Table5[[#This Row],[b1]]="","","PCS")</f>
        <v>#N/A</v>
      </c>
      <c r="N83" s="86"/>
      <c r="O83" s="86"/>
    </row>
    <row r="84" spans="2:15" x14ac:dyDescent="0.25">
      <c r="B84" s="88"/>
      <c r="C84" s="194" t="e">
        <f>MATCH(A84,Table1[H_A1],0)</f>
        <v>#N/A</v>
      </c>
      <c r="D84" s="194" t="e">
        <f>MATCH(Table5[[#This Row],[NAMA]],[1]!db[NB PAJAK],0)</f>
        <v>#N/A</v>
      </c>
      <c r="E84" t="e">
        <f>INDEX(Table1[Item Description],Table5[[#This Row],[//NOTA]])</f>
        <v>#N/A</v>
      </c>
      <c r="F84">
        <f>SUMIF(Table1[H_A1],Sheet5!A84,Table1[Qty])</f>
        <v>0</v>
      </c>
      <c r="G84" t="e">
        <f>INDEX(Table1[Unit],Table5[[#This Row],[//NOTA]])</f>
        <v>#N/A</v>
      </c>
      <c r="H84" s="195">
        <f>SUMIF(Table1[H_A1],Sheet5!A84,Table1[C])</f>
        <v>0</v>
      </c>
      <c r="I84" s="195" t="e">
        <f>INDEX(Table1[Unit Price],Table5[[#This Row],[//NOTA]])</f>
        <v>#N/A</v>
      </c>
      <c r="J84" s="86" t="e">
        <f>IF(Table5[[#This Row],[a2]]="","",Table5[[#This Row],[QTY]]*12)</f>
        <v>#N/A</v>
      </c>
      <c r="K84" s="86" t="e">
        <f>IF(Table5[[#This Row],[UNIT]]="grs","LSN",IF(Table5[[#This Row],[UNIT]]="LSN","PCS",""))</f>
        <v>#N/A</v>
      </c>
      <c r="L84" s="86" t="e">
        <f>IF(Table5[[#This Row],[a2]]="LSN",Table5[[#This Row],[a1]]*12,"")</f>
        <v>#N/A</v>
      </c>
      <c r="M84" s="86" t="e">
        <f>IF(Table5[[#This Row],[b1]]="","","PCS")</f>
        <v>#N/A</v>
      </c>
      <c r="N84" s="86"/>
      <c r="O84" s="86"/>
    </row>
    <row r="85" spans="2:15" x14ac:dyDescent="0.25">
      <c r="B85" s="88"/>
      <c r="C85" s="194" t="e">
        <f>MATCH(A85,Table1[H_A1],0)</f>
        <v>#N/A</v>
      </c>
      <c r="D85" s="194" t="e">
        <f>MATCH(Table5[[#This Row],[NAMA]],[1]!db[NB PAJAK],0)</f>
        <v>#N/A</v>
      </c>
      <c r="E85" t="e">
        <f>INDEX(Table1[Item Description],Table5[[#This Row],[//NOTA]])</f>
        <v>#N/A</v>
      </c>
      <c r="F85">
        <f>SUMIF(Table1[H_A1],Sheet5!A85,Table1[Qty])</f>
        <v>0</v>
      </c>
      <c r="G85" t="e">
        <f>INDEX(Table1[Unit],Table5[[#This Row],[//NOTA]])</f>
        <v>#N/A</v>
      </c>
      <c r="H85" s="195">
        <f>SUMIF(Table1[H_A1],Sheet5!A85,Table1[C])</f>
        <v>0</v>
      </c>
      <c r="I85" s="195" t="e">
        <f>INDEX(Table1[Unit Price],Table5[[#This Row],[//NOTA]])</f>
        <v>#N/A</v>
      </c>
      <c r="J85" s="86" t="e">
        <f>IF(Table5[[#This Row],[a2]]="","",Table5[[#This Row],[QTY]]*12)</f>
        <v>#N/A</v>
      </c>
      <c r="K85" s="86" t="e">
        <f>IF(Table5[[#This Row],[UNIT]]="grs","LSN",IF(Table5[[#This Row],[UNIT]]="LSN","PCS",""))</f>
        <v>#N/A</v>
      </c>
      <c r="L85" s="86" t="e">
        <f>IF(Table5[[#This Row],[a2]]="LSN",Table5[[#This Row],[a1]]*12,"")</f>
        <v>#N/A</v>
      </c>
      <c r="M85" s="86" t="e">
        <f>IF(Table5[[#This Row],[b1]]="","","PCS")</f>
        <v>#N/A</v>
      </c>
      <c r="N85" s="86"/>
      <c r="O85" s="86"/>
    </row>
    <row r="86" spans="2:15" x14ac:dyDescent="0.25">
      <c r="B86" s="88"/>
      <c r="C86" s="194" t="e">
        <f>MATCH(A86,Table1[H_A1],0)</f>
        <v>#N/A</v>
      </c>
      <c r="D86" s="194" t="e">
        <f>MATCH(Table5[[#This Row],[NAMA]],[1]!db[NB PAJAK],0)</f>
        <v>#N/A</v>
      </c>
      <c r="E86" t="e">
        <f>INDEX(Table1[Item Description],Table5[[#This Row],[//NOTA]])</f>
        <v>#N/A</v>
      </c>
      <c r="F86">
        <f>SUMIF(Table1[H_A1],Sheet5!A86,Table1[Qty])</f>
        <v>0</v>
      </c>
      <c r="G86" t="e">
        <f>INDEX(Table1[Unit],Table5[[#This Row],[//NOTA]])</f>
        <v>#N/A</v>
      </c>
      <c r="H86" s="195">
        <f>SUMIF(Table1[H_A1],Sheet5!A86,Table1[C])</f>
        <v>0</v>
      </c>
      <c r="I86" s="195" t="e">
        <f>INDEX(Table1[Unit Price],Table5[[#This Row],[//NOTA]])</f>
        <v>#N/A</v>
      </c>
      <c r="J86" s="86" t="e">
        <f>IF(Table5[[#This Row],[a2]]="","",Table5[[#This Row],[QTY]]*12)</f>
        <v>#N/A</v>
      </c>
      <c r="K86" s="86" t="e">
        <f>IF(Table5[[#This Row],[UNIT]]="grs","LSN",IF(Table5[[#This Row],[UNIT]]="LSN","PCS",""))</f>
        <v>#N/A</v>
      </c>
      <c r="L86" s="86" t="e">
        <f>IF(Table5[[#This Row],[a2]]="LSN",Table5[[#This Row],[a1]]*12,"")</f>
        <v>#N/A</v>
      </c>
      <c r="M86" s="86" t="e">
        <f>IF(Table5[[#This Row],[b1]]="","","PCS")</f>
        <v>#N/A</v>
      </c>
      <c r="N86" s="86"/>
      <c r="O86" s="86"/>
    </row>
    <row r="87" spans="2:15" x14ac:dyDescent="0.25">
      <c r="B87" s="88"/>
      <c r="C87" s="194" t="e">
        <f>MATCH(A87,Table1[H_A1],0)</f>
        <v>#N/A</v>
      </c>
      <c r="D87" s="194" t="e">
        <f>MATCH(Table5[[#This Row],[NAMA]],[1]!db[NB PAJAK],0)</f>
        <v>#N/A</v>
      </c>
      <c r="E87" t="e">
        <f>INDEX(Table1[Item Description],Table5[[#This Row],[//NOTA]])</f>
        <v>#N/A</v>
      </c>
      <c r="F87">
        <f>SUMIF(Table1[H_A1],Sheet5!A87,Table1[Qty])</f>
        <v>0</v>
      </c>
      <c r="G87" t="e">
        <f>INDEX(Table1[Unit],Table5[[#This Row],[//NOTA]])</f>
        <v>#N/A</v>
      </c>
      <c r="H87" s="195">
        <f>SUMIF(Table1[H_A1],Sheet5!A87,Table1[C])</f>
        <v>0</v>
      </c>
      <c r="I87" s="195" t="e">
        <f>INDEX(Table1[Unit Price],Table5[[#This Row],[//NOTA]])</f>
        <v>#N/A</v>
      </c>
      <c r="J87" s="86" t="e">
        <f>IF(Table5[[#This Row],[a2]]="","",Table5[[#This Row],[QTY]]*12)</f>
        <v>#N/A</v>
      </c>
      <c r="K87" s="86" t="e">
        <f>IF(Table5[[#This Row],[UNIT]]="grs","LSN",IF(Table5[[#This Row],[UNIT]]="LSN","PCS",""))</f>
        <v>#N/A</v>
      </c>
      <c r="L87" s="86" t="e">
        <f>IF(Table5[[#This Row],[a2]]="LSN",Table5[[#This Row],[a1]]*12,"")</f>
        <v>#N/A</v>
      </c>
      <c r="M87" s="86" t="e">
        <f>IF(Table5[[#This Row],[b1]]="","","PCS")</f>
        <v>#N/A</v>
      </c>
      <c r="N87" s="86"/>
      <c r="O87" s="86"/>
    </row>
    <row r="88" spans="2:15" x14ac:dyDescent="0.25">
      <c r="B88" s="88"/>
      <c r="C88" s="194" t="e">
        <f>MATCH(A88,Table1[H_A1],0)</f>
        <v>#N/A</v>
      </c>
      <c r="D88" s="194" t="e">
        <f>MATCH(Table5[[#This Row],[NAMA]],[1]!db[NB PAJAK],0)</f>
        <v>#N/A</v>
      </c>
      <c r="E88" t="e">
        <f>INDEX(Table1[Item Description],Table5[[#This Row],[//NOTA]])</f>
        <v>#N/A</v>
      </c>
      <c r="F88">
        <f>SUMIF(Table1[H_A1],Sheet5!A88,Table1[Qty])</f>
        <v>0</v>
      </c>
      <c r="G88" t="e">
        <f>INDEX(Table1[Unit],Table5[[#This Row],[//NOTA]])</f>
        <v>#N/A</v>
      </c>
      <c r="H88" s="195">
        <f>SUMIF(Table1[H_A1],Sheet5!A88,Table1[C])</f>
        <v>0</v>
      </c>
      <c r="I88" s="195" t="e">
        <f>INDEX(Table1[Unit Price],Table5[[#This Row],[//NOTA]])</f>
        <v>#N/A</v>
      </c>
      <c r="J88" s="86" t="e">
        <f>IF(Table5[[#This Row],[a2]]="","",Table5[[#This Row],[QTY]]*12)</f>
        <v>#N/A</v>
      </c>
      <c r="K88" s="86" t="e">
        <f>IF(Table5[[#This Row],[UNIT]]="grs","LSN",IF(Table5[[#This Row],[UNIT]]="LSN","PCS",""))</f>
        <v>#N/A</v>
      </c>
      <c r="L88" s="86" t="e">
        <f>IF(Table5[[#This Row],[a2]]="LSN",Table5[[#This Row],[a1]]*12,"")</f>
        <v>#N/A</v>
      </c>
      <c r="M88" s="86" t="e">
        <f>IF(Table5[[#This Row],[b1]]="","","PCS")</f>
        <v>#N/A</v>
      </c>
      <c r="N88" s="86"/>
      <c r="O88" s="86"/>
    </row>
    <row r="89" spans="2:15" x14ac:dyDescent="0.25">
      <c r="B89" s="88"/>
      <c r="C89" s="194" t="e">
        <f>MATCH(A89,Table1[H_A1],0)</f>
        <v>#N/A</v>
      </c>
      <c r="D89" s="194" t="e">
        <f>MATCH(Table5[[#This Row],[NAMA]],[1]!db[NB PAJAK],0)</f>
        <v>#N/A</v>
      </c>
      <c r="E89" t="e">
        <f>INDEX(Table1[Item Description],Table5[[#This Row],[//NOTA]])</f>
        <v>#N/A</v>
      </c>
      <c r="F89">
        <f>SUMIF(Table1[H_A1],Sheet5!A89,Table1[Qty])</f>
        <v>0</v>
      </c>
      <c r="G89" t="e">
        <f>INDEX(Table1[Unit],Table5[[#This Row],[//NOTA]])</f>
        <v>#N/A</v>
      </c>
      <c r="H89" s="195">
        <f>SUMIF(Table1[H_A1],Sheet5!A89,Table1[C])</f>
        <v>0</v>
      </c>
      <c r="I89" s="195" t="e">
        <f>INDEX(Table1[Unit Price],Table5[[#This Row],[//NOTA]])</f>
        <v>#N/A</v>
      </c>
      <c r="J89" s="86" t="e">
        <f>IF(Table5[[#This Row],[a2]]="","",Table5[[#This Row],[QTY]]*12)</f>
        <v>#N/A</v>
      </c>
      <c r="K89" s="86" t="e">
        <f>IF(Table5[[#This Row],[UNIT]]="grs","LSN",IF(Table5[[#This Row],[UNIT]]="LSN","PCS",""))</f>
        <v>#N/A</v>
      </c>
      <c r="L89" s="86" t="e">
        <f>IF(Table5[[#This Row],[a2]]="LSN",Table5[[#This Row],[a1]]*12,"")</f>
        <v>#N/A</v>
      </c>
      <c r="M89" s="86" t="e">
        <f>IF(Table5[[#This Row],[b1]]="","","PCS")</f>
        <v>#N/A</v>
      </c>
      <c r="N89" s="86"/>
      <c r="O89" s="86"/>
    </row>
    <row r="90" spans="2:15" x14ac:dyDescent="0.25">
      <c r="B90" s="88"/>
      <c r="C90" s="194" t="e">
        <f>MATCH(A90,Table1[H_A1],0)</f>
        <v>#N/A</v>
      </c>
      <c r="D90" s="194" t="e">
        <f>MATCH(Table5[[#This Row],[NAMA]],[1]!db[NB PAJAK],0)</f>
        <v>#N/A</v>
      </c>
      <c r="E90" t="e">
        <f>INDEX(Table1[Item Description],Table5[[#This Row],[//NOTA]])</f>
        <v>#N/A</v>
      </c>
      <c r="F90">
        <f>SUMIF(Table1[H_A1],Sheet5!A90,Table1[Qty])</f>
        <v>0</v>
      </c>
      <c r="G90" t="e">
        <f>INDEX(Table1[Unit],Table5[[#This Row],[//NOTA]])</f>
        <v>#N/A</v>
      </c>
      <c r="H90" s="195">
        <f>SUMIF(Table1[H_A1],Sheet5!A90,Table1[C])</f>
        <v>0</v>
      </c>
      <c r="I90" s="195" t="e">
        <f>INDEX(Table1[Unit Price],Table5[[#This Row],[//NOTA]])</f>
        <v>#N/A</v>
      </c>
      <c r="J90" s="86" t="e">
        <f>IF(Table5[[#This Row],[a2]]="","",Table5[[#This Row],[QTY]]*12)</f>
        <v>#N/A</v>
      </c>
      <c r="K90" s="86" t="e">
        <f>IF(Table5[[#This Row],[UNIT]]="grs","LSN",IF(Table5[[#This Row],[UNIT]]="LSN","PCS",""))</f>
        <v>#N/A</v>
      </c>
      <c r="L90" s="86" t="e">
        <f>IF(Table5[[#This Row],[a2]]="LSN",Table5[[#This Row],[a1]]*12,"")</f>
        <v>#N/A</v>
      </c>
      <c r="M90" s="86" t="e">
        <f>IF(Table5[[#This Row],[b1]]="","","PCS")</f>
        <v>#N/A</v>
      </c>
      <c r="N90" s="86"/>
      <c r="O90" s="86"/>
    </row>
    <row r="91" spans="2:15" x14ac:dyDescent="0.25">
      <c r="B91" s="88"/>
      <c r="C91" s="194" t="e">
        <f>MATCH(A91,Table1[H_A1],0)</f>
        <v>#N/A</v>
      </c>
      <c r="D91" s="194" t="e">
        <f>MATCH(Table5[[#This Row],[NAMA]],[1]!db[NB PAJAK],0)</f>
        <v>#N/A</v>
      </c>
      <c r="E91" t="e">
        <f>INDEX(Table1[Item Description],Table5[[#This Row],[//NOTA]])</f>
        <v>#N/A</v>
      </c>
      <c r="F91">
        <f>SUMIF(Table1[H_A1],Sheet5!A91,Table1[Qty])</f>
        <v>0</v>
      </c>
      <c r="G91" t="e">
        <f>INDEX(Table1[Unit],Table5[[#This Row],[//NOTA]])</f>
        <v>#N/A</v>
      </c>
      <c r="H91" s="195">
        <f>SUMIF(Table1[H_A1],Sheet5!A91,Table1[C])</f>
        <v>0</v>
      </c>
      <c r="I91" s="195" t="e">
        <f>INDEX(Table1[Unit Price],Table5[[#This Row],[//NOTA]])</f>
        <v>#N/A</v>
      </c>
      <c r="J91" s="86" t="e">
        <f>IF(Table5[[#This Row],[a2]]="","",Table5[[#This Row],[QTY]]*12)</f>
        <v>#N/A</v>
      </c>
      <c r="K91" s="86" t="e">
        <f>IF(Table5[[#This Row],[UNIT]]="grs","LSN",IF(Table5[[#This Row],[UNIT]]="LSN","PCS",""))</f>
        <v>#N/A</v>
      </c>
      <c r="L91" s="86" t="e">
        <f>IF(Table5[[#This Row],[a2]]="LSN",Table5[[#This Row],[a1]]*12,"")</f>
        <v>#N/A</v>
      </c>
      <c r="M91" s="86" t="e">
        <f>IF(Table5[[#This Row],[b1]]="","","PCS")</f>
        <v>#N/A</v>
      </c>
      <c r="N91" s="86"/>
      <c r="O91" s="86"/>
    </row>
    <row r="92" spans="2:15" x14ac:dyDescent="0.25">
      <c r="B92" s="88"/>
      <c r="C92" s="194" t="e">
        <f>MATCH(A92,Table1[H_A1],0)</f>
        <v>#N/A</v>
      </c>
      <c r="D92" s="194" t="e">
        <f>MATCH(Table5[[#This Row],[NAMA]],[1]!db[NB PAJAK],0)</f>
        <v>#N/A</v>
      </c>
      <c r="E92" t="e">
        <f>INDEX(Table1[Item Description],Table5[[#This Row],[//NOTA]])</f>
        <v>#N/A</v>
      </c>
      <c r="F92">
        <f>SUMIF(Table1[H_A1],Sheet5!A92,Table1[Qty])</f>
        <v>0</v>
      </c>
      <c r="G92" t="e">
        <f>INDEX(Table1[Unit],Table5[[#This Row],[//NOTA]])</f>
        <v>#N/A</v>
      </c>
      <c r="H92" s="195">
        <f>SUMIF(Table1[H_A1],Sheet5!A92,Table1[C])</f>
        <v>0</v>
      </c>
      <c r="I92" s="195" t="e">
        <f>INDEX(Table1[Unit Price],Table5[[#This Row],[//NOTA]])</f>
        <v>#N/A</v>
      </c>
      <c r="J92" s="86" t="e">
        <f>IF(Table5[[#This Row],[a2]]="","",Table5[[#This Row],[QTY]]*12)</f>
        <v>#N/A</v>
      </c>
      <c r="K92" s="86" t="e">
        <f>IF(Table5[[#This Row],[UNIT]]="grs","LSN",IF(Table5[[#This Row],[UNIT]]="LSN","PCS",""))</f>
        <v>#N/A</v>
      </c>
      <c r="L92" s="86" t="e">
        <f>IF(Table5[[#This Row],[a2]]="LSN",Table5[[#This Row],[a1]]*12,"")</f>
        <v>#N/A</v>
      </c>
      <c r="M92" s="86" t="e">
        <f>IF(Table5[[#This Row],[b1]]="","","PCS")</f>
        <v>#N/A</v>
      </c>
      <c r="N92" s="86"/>
      <c r="O92" s="86"/>
    </row>
    <row r="93" spans="2:15" x14ac:dyDescent="0.25">
      <c r="B93" s="88"/>
      <c r="C93" s="194" t="e">
        <f>MATCH(A93,Table1[H_A1],0)</f>
        <v>#N/A</v>
      </c>
      <c r="D93" s="194" t="e">
        <f>MATCH(Table5[[#This Row],[NAMA]],[1]!db[NB PAJAK],0)</f>
        <v>#N/A</v>
      </c>
      <c r="E93" t="e">
        <f>INDEX(Table1[Item Description],Table5[[#This Row],[//NOTA]])</f>
        <v>#N/A</v>
      </c>
      <c r="F93">
        <f>SUMIF(Table1[H_A1],Sheet5!A93,Table1[Qty])</f>
        <v>0</v>
      </c>
      <c r="G93" t="e">
        <f>INDEX(Table1[Unit],Table5[[#This Row],[//NOTA]])</f>
        <v>#N/A</v>
      </c>
      <c r="H93" s="195">
        <f>SUMIF(Table1[H_A1],Sheet5!A93,Table1[C])</f>
        <v>0</v>
      </c>
      <c r="I93" s="195" t="e">
        <f>INDEX(Table1[Unit Price],Table5[[#This Row],[//NOTA]])</f>
        <v>#N/A</v>
      </c>
      <c r="J93" s="86" t="e">
        <f>IF(Table5[[#This Row],[a2]]="","",Table5[[#This Row],[QTY]]*12)</f>
        <v>#N/A</v>
      </c>
      <c r="K93" s="86" t="e">
        <f>IF(Table5[[#This Row],[UNIT]]="grs","LSN",IF(Table5[[#This Row],[UNIT]]="LSN","PCS",""))</f>
        <v>#N/A</v>
      </c>
      <c r="L93" s="86" t="e">
        <f>IF(Table5[[#This Row],[a2]]="LSN",Table5[[#This Row],[a1]]*12,"")</f>
        <v>#N/A</v>
      </c>
      <c r="M93" s="86" t="e">
        <f>IF(Table5[[#This Row],[b1]]="","","PCS")</f>
        <v>#N/A</v>
      </c>
      <c r="N93" s="86"/>
      <c r="O93" s="86"/>
    </row>
    <row r="94" spans="2:15" x14ac:dyDescent="0.25">
      <c r="B94" s="88"/>
      <c r="C94" s="194" t="e">
        <f>MATCH(A94,Table1[H_A1],0)</f>
        <v>#N/A</v>
      </c>
      <c r="D94" s="194" t="e">
        <f>MATCH(Table5[[#This Row],[NAMA]],[1]!db[NB PAJAK],0)</f>
        <v>#N/A</v>
      </c>
      <c r="E94" t="e">
        <f>INDEX(Table1[Item Description],Table5[[#This Row],[//NOTA]])</f>
        <v>#N/A</v>
      </c>
      <c r="F94">
        <f>SUMIF(Table1[H_A1],Sheet5!A94,Table1[Qty])</f>
        <v>0</v>
      </c>
      <c r="G94" t="e">
        <f>INDEX(Table1[Unit],Table5[[#This Row],[//NOTA]])</f>
        <v>#N/A</v>
      </c>
      <c r="H94" s="195">
        <f>SUMIF(Table1[H_A1],Sheet5!A94,Table1[C])</f>
        <v>0</v>
      </c>
      <c r="I94" s="195" t="e">
        <f>INDEX(Table1[Unit Price],Table5[[#This Row],[//NOTA]])</f>
        <v>#N/A</v>
      </c>
      <c r="J94" s="86" t="e">
        <f>IF(Table5[[#This Row],[a2]]="","",Table5[[#This Row],[QTY]]*12)</f>
        <v>#N/A</v>
      </c>
      <c r="K94" s="86" t="e">
        <f>IF(Table5[[#This Row],[UNIT]]="grs","LSN",IF(Table5[[#This Row],[UNIT]]="LSN","PCS",""))</f>
        <v>#N/A</v>
      </c>
      <c r="L94" s="86" t="e">
        <f>IF(Table5[[#This Row],[a2]]="LSN",Table5[[#This Row],[a1]]*12,"")</f>
        <v>#N/A</v>
      </c>
      <c r="M94" s="86" t="e">
        <f>IF(Table5[[#This Row],[b1]]="","","PCS")</f>
        <v>#N/A</v>
      </c>
      <c r="N94" s="86"/>
      <c r="O94" s="86"/>
    </row>
    <row r="95" spans="2:15" x14ac:dyDescent="0.25">
      <c r="B95" s="88"/>
      <c r="C95" s="194" t="e">
        <f>MATCH(A95,Table1[H_A1],0)</f>
        <v>#N/A</v>
      </c>
      <c r="D95" s="194" t="e">
        <f>MATCH(Table5[[#This Row],[NAMA]],[1]!db[NB PAJAK],0)</f>
        <v>#N/A</v>
      </c>
      <c r="E95" t="e">
        <f>INDEX(Table1[Item Description],Table5[[#This Row],[//NOTA]])</f>
        <v>#N/A</v>
      </c>
      <c r="F95">
        <f>SUMIF(Table1[H_A1],Sheet5!A95,Table1[Qty])</f>
        <v>0</v>
      </c>
      <c r="G95" t="e">
        <f>INDEX(Table1[Unit],Table5[[#This Row],[//NOTA]])</f>
        <v>#N/A</v>
      </c>
      <c r="H95" s="195">
        <f>SUMIF(Table1[H_A1],Sheet5!A95,Table1[C])</f>
        <v>0</v>
      </c>
      <c r="I95" s="195" t="e">
        <f>INDEX(Table1[Unit Price],Table5[[#This Row],[//NOTA]])</f>
        <v>#N/A</v>
      </c>
      <c r="J95" s="86" t="e">
        <f>IF(Table5[[#This Row],[a2]]="","",Table5[[#This Row],[QTY]]*12)</f>
        <v>#N/A</v>
      </c>
      <c r="K95" s="86" t="e">
        <f>IF(Table5[[#This Row],[UNIT]]="grs","LSN",IF(Table5[[#This Row],[UNIT]]="LSN","PCS",""))</f>
        <v>#N/A</v>
      </c>
      <c r="L95" s="86" t="e">
        <f>IF(Table5[[#This Row],[a2]]="LSN",Table5[[#This Row],[a1]]*12,"")</f>
        <v>#N/A</v>
      </c>
      <c r="M95" s="86" t="e">
        <f>IF(Table5[[#This Row],[b1]]="","","PCS")</f>
        <v>#N/A</v>
      </c>
      <c r="N95" s="86"/>
      <c r="O95" s="86"/>
    </row>
    <row r="96" spans="2:15" x14ac:dyDescent="0.25">
      <c r="B96" s="88"/>
      <c r="C96" s="194" t="e">
        <f>MATCH(A96,Table1[H_A1],0)</f>
        <v>#N/A</v>
      </c>
      <c r="D96" s="194" t="e">
        <f>MATCH(Table5[[#This Row],[NAMA]],[1]!db[NB PAJAK],0)</f>
        <v>#N/A</v>
      </c>
      <c r="E96" t="e">
        <f>INDEX(Table1[Item Description],Table5[[#This Row],[//NOTA]])</f>
        <v>#N/A</v>
      </c>
      <c r="F96">
        <f>SUMIF(Table1[H_A1],Sheet5!A96,Table1[Qty])</f>
        <v>0</v>
      </c>
      <c r="G96" t="e">
        <f>INDEX(Table1[Unit],Table5[[#This Row],[//NOTA]])</f>
        <v>#N/A</v>
      </c>
      <c r="H96" s="195">
        <f>SUMIF(Table1[H_A1],Sheet5!A96,Table1[C])</f>
        <v>0</v>
      </c>
      <c r="I96" s="195" t="e">
        <f>INDEX(Table1[Unit Price],Table5[[#This Row],[//NOTA]])</f>
        <v>#N/A</v>
      </c>
      <c r="J96" s="86" t="e">
        <f>IF(Table5[[#This Row],[a2]]="","",Table5[[#This Row],[QTY]]*12)</f>
        <v>#N/A</v>
      </c>
      <c r="K96" s="86" t="e">
        <f>IF(Table5[[#This Row],[UNIT]]="grs","LSN",IF(Table5[[#This Row],[UNIT]]="LSN","PCS",""))</f>
        <v>#N/A</v>
      </c>
      <c r="L96" s="86" t="e">
        <f>IF(Table5[[#This Row],[a2]]="LSN",Table5[[#This Row],[a1]]*12,"")</f>
        <v>#N/A</v>
      </c>
      <c r="M96" s="86" t="e">
        <f>IF(Table5[[#This Row],[b1]]="","","PCS")</f>
        <v>#N/A</v>
      </c>
      <c r="N96" s="86"/>
      <c r="O96" s="86"/>
    </row>
    <row r="97" spans="2:15" x14ac:dyDescent="0.25">
      <c r="B97" s="88"/>
      <c r="C97" s="194" t="e">
        <f>MATCH(A97,Table1[H_A1],0)</f>
        <v>#N/A</v>
      </c>
      <c r="D97" s="194" t="e">
        <f>MATCH(Table5[[#This Row],[NAMA]],[1]!db[NB PAJAK],0)</f>
        <v>#N/A</v>
      </c>
      <c r="E97" s="86" t="e">
        <f>INDEX(Table1[Item Description],Table5[[#This Row],[//NOTA]])</f>
        <v>#N/A</v>
      </c>
      <c r="F97">
        <f>SUMIF(Table1[H_A1],Sheet5!A97,Table1[Qty])</f>
        <v>0</v>
      </c>
      <c r="G97" t="e">
        <f>INDEX(Table1[Unit],Table5[[#This Row],[//NOTA]])</f>
        <v>#N/A</v>
      </c>
      <c r="H97" s="195">
        <f>SUMIF(Table1[H_A1],Sheet5!A97,Table1[C])</f>
        <v>0</v>
      </c>
      <c r="I97" s="195" t="e">
        <f>INDEX(Table1[Unit Price],Table5[[#This Row],[//NOTA]])</f>
        <v>#N/A</v>
      </c>
      <c r="J97" s="86" t="e">
        <f>IF(Table5[[#This Row],[a2]]="","",Table5[[#This Row],[QTY]]*12)</f>
        <v>#N/A</v>
      </c>
      <c r="K97" s="86" t="e">
        <f>IF(Table5[[#This Row],[UNIT]]="grs","LSN",IF(Table5[[#This Row],[UNIT]]="LSN","PCS",""))</f>
        <v>#N/A</v>
      </c>
      <c r="L97" s="86" t="e">
        <f>IF(Table5[[#This Row],[a2]]="LSN",Table5[[#This Row],[a1]]*12,"")</f>
        <v>#N/A</v>
      </c>
      <c r="M97" s="86" t="e">
        <f>IF(Table5[[#This Row],[b1]]="","","PCS")</f>
        <v>#N/A</v>
      </c>
      <c r="N97" s="86"/>
      <c r="O97" s="86"/>
    </row>
    <row r="98" spans="2:15" x14ac:dyDescent="0.25">
      <c r="C98" s="194" t="e">
        <f>MATCH(A98,Table1[H_A1],0)</f>
        <v>#N/A</v>
      </c>
      <c r="D98" s="194" t="e">
        <f>MATCH(Table5[[#This Row],[NAMA]],[1]!db[NB PAJAK],0)</f>
        <v>#N/A</v>
      </c>
      <c r="E98" s="86" t="e">
        <f>INDEX(Table1[Item Description],Table5[[#This Row],[//NOTA]])</f>
        <v>#N/A</v>
      </c>
      <c r="F98">
        <f>SUMIF(Table1[H_A1],Sheet5!A98,Table1[Qty])</f>
        <v>0</v>
      </c>
      <c r="G98" t="e">
        <f>INDEX(Table1[Unit],Table5[[#This Row],[//NOTA]])</f>
        <v>#N/A</v>
      </c>
      <c r="H98" s="195">
        <f>SUMIF(Table1[H_A1],Sheet5!A98,Table1[C])</f>
        <v>0</v>
      </c>
      <c r="I98" s="195" t="e">
        <f>INDEX(Table1[Unit Price],Table5[[#This Row],[//NOTA]])</f>
        <v>#N/A</v>
      </c>
      <c r="J98" s="86" t="e">
        <f>IF(Table5[[#This Row],[a2]]="","",Table5[[#This Row],[QTY]]*12)</f>
        <v>#N/A</v>
      </c>
      <c r="K98" s="86" t="e">
        <f>IF(Table5[[#This Row],[UNIT]]="grs","LSN",IF(Table5[[#This Row],[UNIT]]="LSN","PCS",""))</f>
        <v>#N/A</v>
      </c>
      <c r="L98" s="86" t="e">
        <f>IF(Table5[[#This Row],[a2]]="LSN",Table5[[#This Row],[a1]]*12,"")</f>
        <v>#N/A</v>
      </c>
      <c r="M98" s="86" t="e">
        <f>IF(Table5[[#This Row],[b1]]="","","PCS")</f>
        <v>#N/A</v>
      </c>
      <c r="N98" s="86"/>
      <c r="O98" s="86"/>
    </row>
    <row r="99" spans="2:15" x14ac:dyDescent="0.25">
      <c r="C99" s="194" t="e">
        <f>MATCH(A99,Table1[H_A1],0)</f>
        <v>#N/A</v>
      </c>
      <c r="D99" s="194" t="e">
        <f>MATCH(Table5[[#This Row],[NAMA]],[1]!db[NB PAJAK],0)</f>
        <v>#N/A</v>
      </c>
      <c r="E99" s="86" t="e">
        <f>INDEX(Table1[Item Description],Table5[[#This Row],[//NOTA]])</f>
        <v>#N/A</v>
      </c>
      <c r="F99">
        <f>SUMIF(Table1[H_A1],Sheet5!A99,Table1[Qty])</f>
        <v>0</v>
      </c>
      <c r="G99" t="e">
        <f>INDEX(Table1[Unit],Table5[[#This Row],[//NOTA]])</f>
        <v>#N/A</v>
      </c>
      <c r="H99" s="195">
        <f>SUMIF(Table1[H_A1],Sheet5!A99,Table1[C])</f>
        <v>0</v>
      </c>
      <c r="I99" s="195" t="e">
        <f>INDEX(Table1[Unit Price],Table5[[#This Row],[//NOTA]])</f>
        <v>#N/A</v>
      </c>
      <c r="J99" s="86" t="e">
        <f>IF(Table5[[#This Row],[a2]]="","",Table5[[#This Row],[QTY]]*12)</f>
        <v>#N/A</v>
      </c>
      <c r="K99" s="86" t="e">
        <f>IF(Table5[[#This Row],[UNIT]]="grs","LSN",IF(Table5[[#This Row],[UNIT]]="LSN","PCS",""))</f>
        <v>#N/A</v>
      </c>
      <c r="L99" s="86" t="e">
        <f>IF(Table5[[#This Row],[a2]]="LSN",Table5[[#This Row],[a1]]*12,"")</f>
        <v>#N/A</v>
      </c>
      <c r="M99" s="86" t="e">
        <f>IF(Table5[[#This Row],[b1]]="","","PCS")</f>
        <v>#N/A</v>
      </c>
      <c r="N99" s="86"/>
      <c r="O99" s="86"/>
    </row>
    <row r="100" spans="2:15" x14ac:dyDescent="0.25">
      <c r="C100" s="194" t="e">
        <f>MATCH(A100,Table1[H_A1],0)</f>
        <v>#N/A</v>
      </c>
      <c r="D100" s="194" t="e">
        <f>MATCH(Table5[[#This Row],[NAMA]],[1]!db[NB PAJAK],0)</f>
        <v>#N/A</v>
      </c>
      <c r="E100" s="86" t="e">
        <f>INDEX(Table1[Item Description],Table5[[#This Row],[//NOTA]])</f>
        <v>#N/A</v>
      </c>
      <c r="F100">
        <f>SUMIF(Table1[H_A1],Sheet5!A100,Table1[Qty])</f>
        <v>0</v>
      </c>
      <c r="G100" t="e">
        <f>INDEX(Table1[Unit],Table5[[#This Row],[//NOTA]])</f>
        <v>#N/A</v>
      </c>
      <c r="H100" s="195">
        <f>SUMIF(Table1[H_A1],Sheet5!A100,Table1[C])</f>
        <v>0</v>
      </c>
      <c r="I100" s="195" t="e">
        <f>INDEX(Table1[Unit Price],Table5[[#This Row],[//NOTA]])</f>
        <v>#N/A</v>
      </c>
      <c r="J100" s="86" t="e">
        <f>IF(Table5[[#This Row],[a2]]="","",Table5[[#This Row],[QTY]]*12)</f>
        <v>#N/A</v>
      </c>
      <c r="K100" s="86" t="e">
        <f>IF(Table5[[#This Row],[UNIT]]="grs","LSN",IF(Table5[[#This Row],[UNIT]]="LSN","PCS",""))</f>
        <v>#N/A</v>
      </c>
      <c r="L100" s="86" t="e">
        <f>IF(Table5[[#This Row],[a2]]="LSN",Table5[[#This Row],[a1]]*12,"")</f>
        <v>#N/A</v>
      </c>
      <c r="M100" s="86" t="e">
        <f>IF(Table5[[#This Row],[b1]]="","","PCS")</f>
        <v>#N/A</v>
      </c>
      <c r="N100" s="86"/>
      <c r="O100" s="86"/>
    </row>
    <row r="101" spans="2:15" x14ac:dyDescent="0.25">
      <c r="C101" s="194" t="e">
        <f>MATCH(A101,Table1[H_A1],0)</f>
        <v>#N/A</v>
      </c>
      <c r="D101" s="194" t="e">
        <f>MATCH(Table5[[#This Row],[NAMA]],[1]!db[NB PAJAK],0)</f>
        <v>#N/A</v>
      </c>
      <c r="E101" s="86" t="e">
        <f>INDEX(Table1[Item Description],Table5[[#This Row],[//NOTA]])</f>
        <v>#N/A</v>
      </c>
      <c r="F101">
        <f>SUMIF(Table1[H_A1],Sheet5!A101,Table1[Qty])</f>
        <v>0</v>
      </c>
      <c r="G101" t="e">
        <f>INDEX(Table1[Unit],Table5[[#This Row],[//NOTA]])</f>
        <v>#N/A</v>
      </c>
      <c r="H101" s="195">
        <f>SUMIF(Table1[H_A1],Sheet5!A101,Table1[C])</f>
        <v>0</v>
      </c>
      <c r="I101" s="195" t="e">
        <f>INDEX(Table1[Unit Price],Table5[[#This Row],[//NOTA]])</f>
        <v>#N/A</v>
      </c>
      <c r="J101" s="86" t="e">
        <f>IF(Table5[[#This Row],[a2]]="","",Table5[[#This Row],[QTY]]*12)</f>
        <v>#N/A</v>
      </c>
      <c r="K101" s="86" t="e">
        <f>IF(Table5[[#This Row],[UNIT]]="grs","LSN",IF(Table5[[#This Row],[UNIT]]="LSN","PCS",""))</f>
        <v>#N/A</v>
      </c>
      <c r="L101" s="86" t="e">
        <f>IF(Table5[[#This Row],[a2]]="LSN",Table5[[#This Row],[a1]]*12,"")</f>
        <v>#N/A</v>
      </c>
      <c r="M101" s="86" t="e">
        <f>IF(Table5[[#This Row],[b1]]="","","PCS")</f>
        <v>#N/A</v>
      </c>
      <c r="N101" s="86"/>
      <c r="O101" s="86"/>
    </row>
    <row r="102" spans="2:15" x14ac:dyDescent="0.25">
      <c r="C102" s="194" t="e">
        <f>MATCH(A102,Table1[H_A1],0)</f>
        <v>#N/A</v>
      </c>
      <c r="D102" s="194" t="e">
        <f>MATCH(Table5[[#This Row],[NAMA]],[1]!db[NB PAJAK],0)</f>
        <v>#N/A</v>
      </c>
      <c r="E102" s="86" t="e">
        <f>INDEX(Table1[Item Description],Table5[[#This Row],[//NOTA]])</f>
        <v>#N/A</v>
      </c>
      <c r="F102" s="86">
        <f>SUMIF(Table1[H_A1],Sheet5!A102,Table1[Qty])</f>
        <v>0</v>
      </c>
      <c r="G102" s="86" t="e">
        <f>INDEX(Table1[Unit],Table5[[#This Row],[//NOTA]])</f>
        <v>#N/A</v>
      </c>
      <c r="H102" s="195">
        <f>SUMIF(Table1[H_A1],Sheet5!A102,Table1[C])</f>
        <v>0</v>
      </c>
      <c r="I102" s="195" t="e">
        <f>INDEX(Table1[Unit Price],Table5[[#This Row],[//NOTA]])</f>
        <v>#N/A</v>
      </c>
      <c r="J102" s="86" t="e">
        <f>IF(Table5[[#This Row],[a2]]="","",Table5[[#This Row],[QTY]]*12)</f>
        <v>#N/A</v>
      </c>
      <c r="K102" s="86" t="e">
        <f>IF(Table5[[#This Row],[UNIT]]="grs","LSN",IF(Table5[[#This Row],[UNIT]]="LSN","PCS",""))</f>
        <v>#N/A</v>
      </c>
      <c r="L102" s="86" t="e">
        <f>IF(Table5[[#This Row],[a2]]="LSN",Table5[[#This Row],[a1]]*12,"")</f>
        <v>#N/A</v>
      </c>
      <c r="M102" s="86" t="e">
        <f>IF(Table5[[#This Row],[b1]]="","","PCS")</f>
        <v>#N/A</v>
      </c>
      <c r="N102" s="86"/>
      <c r="O102" s="86"/>
    </row>
    <row r="103" spans="2:15" x14ac:dyDescent="0.25">
      <c r="C103" s="194" t="e">
        <f>MATCH(A103,Table1[H_A1],0)</f>
        <v>#N/A</v>
      </c>
      <c r="D103" s="194" t="e">
        <f>MATCH(Table5[[#This Row],[NAMA]],[1]!db[NB PAJAK],0)</f>
        <v>#N/A</v>
      </c>
      <c r="E103" s="86" t="e">
        <f>INDEX(Table1[Item Description],Table5[[#This Row],[//NOTA]])</f>
        <v>#N/A</v>
      </c>
      <c r="F103" s="86">
        <f>SUMIF(Table1[H_A1],Sheet5!A103,Table1[Qty])</f>
        <v>0</v>
      </c>
      <c r="G103" s="86" t="e">
        <f>INDEX(Table1[Unit],Table5[[#This Row],[//NOTA]])</f>
        <v>#N/A</v>
      </c>
      <c r="H103" s="195">
        <f>SUMIF(Table1[H_A1],Sheet5!A103,Table1[C])</f>
        <v>0</v>
      </c>
      <c r="I103" s="195" t="e">
        <f>INDEX(Table1[Unit Price],Table5[[#This Row],[//NOTA]])</f>
        <v>#N/A</v>
      </c>
      <c r="J103" s="86" t="e">
        <f>IF(Table5[[#This Row],[a2]]="","",Table5[[#This Row],[QTY]]*12)</f>
        <v>#N/A</v>
      </c>
      <c r="K103" s="86" t="e">
        <f>IF(Table5[[#This Row],[UNIT]]="grs","LSN",IF(Table5[[#This Row],[UNIT]]="LSN","PCS",""))</f>
        <v>#N/A</v>
      </c>
      <c r="L103" s="86" t="e">
        <f>IF(Table5[[#This Row],[a2]]="LSN",Table5[[#This Row],[a1]]*12,"")</f>
        <v>#N/A</v>
      </c>
      <c r="M103" s="86" t="e">
        <f>IF(Table5[[#This Row],[b1]]="","","PCS")</f>
        <v>#N/A</v>
      </c>
      <c r="N103" s="86"/>
      <c r="O103" s="86"/>
    </row>
    <row r="104" spans="2:15" x14ac:dyDescent="0.25">
      <c r="C104" s="194" t="e">
        <f>MATCH(A104,Table1[H_A1],0)</f>
        <v>#N/A</v>
      </c>
      <c r="D104" s="194" t="e">
        <f>MATCH(Table5[[#This Row],[NAMA]],[1]!db[NB PAJAK],0)</f>
        <v>#N/A</v>
      </c>
      <c r="E104" s="86" t="e">
        <f>INDEX(Table1[Item Description],Table5[[#This Row],[//NOTA]])</f>
        <v>#N/A</v>
      </c>
      <c r="F104" s="86">
        <f>SUMIF(Table1[H_A1],Sheet5!A104,Table1[Qty])</f>
        <v>0</v>
      </c>
      <c r="G104" s="86" t="e">
        <f>INDEX(Table1[Unit],Table5[[#This Row],[//NOTA]])</f>
        <v>#N/A</v>
      </c>
      <c r="H104" s="195">
        <f>SUMIF(Table1[H_A1],Sheet5!A104,Table1[C])</f>
        <v>0</v>
      </c>
      <c r="I104" s="195" t="e">
        <f>INDEX(Table1[Unit Price],Table5[[#This Row],[//NOTA]])</f>
        <v>#N/A</v>
      </c>
      <c r="J104" s="86" t="e">
        <f>IF(Table5[[#This Row],[a2]]="","",Table5[[#This Row],[QTY]]*12)</f>
        <v>#N/A</v>
      </c>
      <c r="K104" s="86" t="e">
        <f>IF(Table5[[#This Row],[UNIT]]="grs","LSN",IF(Table5[[#This Row],[UNIT]]="LSN","PCS",""))</f>
        <v>#N/A</v>
      </c>
      <c r="L104" s="86" t="e">
        <f>IF(Table5[[#This Row],[a2]]="LSN",Table5[[#This Row],[a1]]*12,"")</f>
        <v>#N/A</v>
      </c>
      <c r="M104" s="86" t="e">
        <f>IF(Table5[[#This Row],[b1]]="","","PCS")</f>
        <v>#N/A</v>
      </c>
      <c r="N104" s="86"/>
      <c r="O104" s="86"/>
    </row>
    <row r="105" spans="2:15" x14ac:dyDescent="0.25">
      <c r="C105" s="194" t="e">
        <f>MATCH(A105,Table1[H_A1],0)</f>
        <v>#N/A</v>
      </c>
      <c r="D105" s="194" t="e">
        <f>MATCH(Table5[[#This Row],[NAMA]],[1]!db[NB PAJAK],0)</f>
        <v>#N/A</v>
      </c>
      <c r="E105" s="86" t="e">
        <f>INDEX(Table1[Item Description],Table5[[#This Row],[//NOTA]])</f>
        <v>#N/A</v>
      </c>
      <c r="F105" s="86">
        <f>SUMIF(Table1[H_A1],Sheet5!A105,Table1[Qty])</f>
        <v>0</v>
      </c>
      <c r="G105" s="86" t="e">
        <f>INDEX(Table1[Unit],Table5[[#This Row],[//NOTA]])</f>
        <v>#N/A</v>
      </c>
      <c r="H105" s="195">
        <f>SUMIF(Table1[H_A1],Sheet5!A105,Table1[C])</f>
        <v>0</v>
      </c>
      <c r="I105" s="195" t="e">
        <f>INDEX(Table1[Unit Price],Table5[[#This Row],[//NOTA]])</f>
        <v>#N/A</v>
      </c>
      <c r="J105" s="86" t="e">
        <f>IF(Table5[[#This Row],[a2]]="","",Table5[[#This Row],[QTY]]*12)</f>
        <v>#N/A</v>
      </c>
      <c r="K105" s="86" t="e">
        <f>IF(Table5[[#This Row],[UNIT]]="grs","LSN",IF(Table5[[#This Row],[UNIT]]="LSN","PCS",""))</f>
        <v>#N/A</v>
      </c>
      <c r="L105" s="86" t="e">
        <f>IF(Table5[[#This Row],[a2]]="LSN",Table5[[#This Row],[a1]]*12,"")</f>
        <v>#N/A</v>
      </c>
      <c r="M105" s="86" t="e">
        <f>IF(Table5[[#This Row],[b1]]="","","PCS")</f>
        <v>#N/A</v>
      </c>
      <c r="N105" s="86"/>
      <c r="O105" s="86"/>
    </row>
    <row r="106" spans="2:15" x14ac:dyDescent="0.25"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2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2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2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2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2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2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8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9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2023-05-02T02:54:50Z</dcterms:modified>
</cp:coreProperties>
</file>