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0" i="1" l="1"/>
  <c r="C302" i="1" l="1"/>
  <c r="P302" i="1"/>
  <c r="R302" i="1" s="1"/>
  <c r="S302" i="1" s="1"/>
  <c r="P991" i="1" l="1"/>
  <c r="R991" i="1"/>
  <c r="S991" i="1" s="1"/>
  <c r="P209" i="1"/>
  <c r="R209" i="1"/>
  <c r="S209" i="1" s="1"/>
  <c r="P210" i="1"/>
  <c r="R210" i="1" s="1"/>
  <c r="S210" i="1" s="1"/>
  <c r="P214" i="1"/>
  <c r="R214" i="1" s="1"/>
  <c r="S214" i="1" s="1"/>
  <c r="P198" i="1"/>
  <c r="C571" i="1"/>
  <c r="P571" i="1" s="1"/>
  <c r="R571" i="1" s="1"/>
  <c r="S571" i="1" s="1"/>
  <c r="P570" i="1"/>
  <c r="R570" i="1" s="1"/>
  <c r="S570" i="1" s="1"/>
  <c r="P955" i="1"/>
  <c r="R955" i="1" s="1"/>
  <c r="S955" i="1" s="1"/>
  <c r="C301" i="1"/>
  <c r="R198" i="1" l="1"/>
  <c r="S198" i="1" s="1"/>
  <c r="P382" i="1"/>
  <c r="R382" i="1" s="1"/>
  <c r="S382" i="1" s="1"/>
  <c r="P243" i="1"/>
  <c r="R243" i="1" s="1"/>
  <c r="S243" i="1" s="1"/>
  <c r="P241" i="1"/>
  <c r="R241" i="1" s="1"/>
  <c r="S241" i="1" s="1"/>
  <c r="P239" i="1"/>
  <c r="R239" i="1" s="1"/>
  <c r="S239" i="1" s="1"/>
  <c r="P237" i="1"/>
  <c r="R237" i="1" s="1"/>
  <c r="S237" i="1" s="1"/>
  <c r="P238" i="1"/>
  <c r="R238" i="1" s="1"/>
  <c r="S238" i="1" s="1"/>
  <c r="P235" i="1"/>
  <c r="R235" i="1" s="1"/>
  <c r="S235" i="1" s="1"/>
  <c r="P233" i="1"/>
  <c r="R233" i="1" s="1"/>
  <c r="S233" i="1" s="1"/>
  <c r="P231" i="1"/>
  <c r="R231" i="1" s="1"/>
  <c r="S231" i="1" s="1"/>
  <c r="P155" i="1"/>
  <c r="R155" i="1" s="1"/>
  <c r="S155" i="1" s="1"/>
  <c r="P125" i="1"/>
  <c r="R125" i="1" s="1"/>
  <c r="S125" i="1" s="1"/>
  <c r="P844" i="1" l="1"/>
  <c r="R844" i="1" s="1"/>
  <c r="S844" i="1" s="1"/>
  <c r="P386" i="1"/>
  <c r="R386" i="1" s="1"/>
  <c r="S386" i="1" s="1"/>
  <c r="P384" i="1"/>
  <c r="R384" i="1" s="1"/>
  <c r="S384" i="1" s="1"/>
  <c r="P385" i="1"/>
  <c r="R385" i="1" s="1"/>
  <c r="S385" i="1" s="1"/>
  <c r="P380" i="1"/>
  <c r="R380" i="1" s="1"/>
  <c r="S380" i="1" s="1"/>
  <c r="P788" i="1"/>
  <c r="R788" i="1" s="1"/>
  <c r="S788" i="1" s="1"/>
  <c r="J789" i="1"/>
  <c r="P789" i="1"/>
  <c r="P71" i="1"/>
  <c r="R71" i="1" s="1"/>
  <c r="S71" i="1" s="1"/>
  <c r="P72" i="1"/>
  <c r="R72" i="1" s="1"/>
  <c r="S72" i="1" s="1"/>
  <c r="P73" i="1"/>
  <c r="R73" i="1" s="1"/>
  <c r="S73" i="1" s="1"/>
  <c r="P74" i="1"/>
  <c r="R74" i="1" s="1"/>
  <c r="S74" i="1" s="1"/>
  <c r="P65" i="1"/>
  <c r="P66" i="1"/>
  <c r="R66" i="1" s="1"/>
  <c r="S66" i="1" s="1"/>
  <c r="P67" i="1"/>
  <c r="R67" i="1" s="1"/>
  <c r="S67" i="1" s="1"/>
  <c r="P68" i="1"/>
  <c r="R68" i="1" s="1"/>
  <c r="S68" i="1" s="1"/>
  <c r="P69" i="1"/>
  <c r="R69" i="1" s="1"/>
  <c r="S69" i="1" s="1"/>
  <c r="P70" i="1"/>
  <c r="R70" i="1" s="1"/>
  <c r="S70" i="1" s="1"/>
  <c r="P63" i="1"/>
  <c r="R63" i="1" s="1"/>
  <c r="S63" i="1" s="1"/>
  <c r="P44" i="1"/>
  <c r="R44" i="1" s="1"/>
  <c r="S44" i="1" s="1"/>
  <c r="P45" i="1"/>
  <c r="P46" i="1"/>
  <c r="R46" i="1" s="1"/>
  <c r="S46" i="1" s="1"/>
  <c r="R789" i="1" l="1"/>
  <c r="S789" i="1" s="1"/>
  <c r="P657" i="1" l="1"/>
  <c r="R657" i="1" s="1"/>
  <c r="S657" i="1" s="1"/>
  <c r="P656" i="1"/>
  <c r="R656" i="1" s="1"/>
  <c r="S656" i="1" s="1"/>
  <c r="P650" i="1"/>
  <c r="R650" i="1" s="1"/>
  <c r="S650" i="1" s="1"/>
  <c r="P651" i="1"/>
  <c r="R651" i="1" s="1"/>
  <c r="S651" i="1" s="1"/>
  <c r="P652" i="1"/>
  <c r="R652" i="1" s="1"/>
  <c r="S652" i="1" s="1"/>
  <c r="P653" i="1"/>
  <c r="R653" i="1" s="1"/>
  <c r="S653" i="1" s="1"/>
  <c r="P654" i="1"/>
  <c r="R654" i="1" s="1"/>
  <c r="S654" i="1" s="1"/>
  <c r="P655" i="1"/>
  <c r="R655" i="1" s="1"/>
  <c r="S655" i="1" s="1"/>
  <c r="P649" i="1"/>
  <c r="R649" i="1" s="1"/>
  <c r="S649" i="1" s="1"/>
  <c r="P843" i="1" l="1"/>
  <c r="R843" i="1" s="1"/>
  <c r="S843" i="1" s="1"/>
  <c r="P225" i="1"/>
  <c r="R225" i="1" s="1"/>
  <c r="S225" i="1" s="1"/>
  <c r="P215" i="1"/>
  <c r="R215" i="1" s="1"/>
  <c r="S215" i="1" s="1"/>
  <c r="P644" i="1" l="1"/>
  <c r="R644" i="1" s="1"/>
  <c r="S644" i="1" s="1"/>
  <c r="P641" i="1"/>
  <c r="R641" i="1" s="1"/>
  <c r="S641" i="1" s="1"/>
  <c r="P643" i="1"/>
  <c r="R643" i="1" s="1"/>
  <c r="S643" i="1" s="1"/>
  <c r="P892" i="1" l="1"/>
  <c r="R892" i="1" s="1"/>
  <c r="S892" i="1" s="1"/>
  <c r="P445" i="1"/>
  <c r="R445" i="1" s="1"/>
  <c r="S445" i="1" s="1"/>
  <c r="P824" i="1"/>
  <c r="R824" i="1" s="1"/>
  <c r="S824" i="1" s="1"/>
  <c r="P825" i="1"/>
  <c r="R825" i="1" s="1"/>
  <c r="S825" i="1" s="1"/>
  <c r="P823" i="1"/>
  <c r="R823" i="1" s="1"/>
  <c r="S823" i="1" s="1"/>
  <c r="P859" i="1"/>
  <c r="R859" i="1" s="1"/>
  <c r="S859" i="1" s="1"/>
  <c r="P1035" i="1"/>
  <c r="R1035" i="1" s="1"/>
  <c r="S1035" i="1" s="1"/>
  <c r="P1033" i="1"/>
  <c r="R1033" i="1" s="1"/>
  <c r="S1033" i="1" s="1"/>
  <c r="P1059" i="1" l="1"/>
  <c r="R1059" i="1" s="1"/>
  <c r="S1059" i="1" s="1"/>
  <c r="P688" i="1"/>
  <c r="R688" i="1" s="1"/>
  <c r="S688" i="1" s="1"/>
  <c r="P887" i="1" l="1"/>
  <c r="R887" i="1" s="1"/>
  <c r="S887" i="1" s="1"/>
  <c r="P315" i="1" l="1"/>
  <c r="R315" i="1" s="1"/>
  <c r="S315" i="1" s="1"/>
  <c r="P886" i="1"/>
  <c r="R886" i="1" s="1"/>
  <c r="S886" i="1" s="1"/>
  <c r="C613" i="1"/>
  <c r="P1002" i="1" l="1"/>
  <c r="R1002" i="1" s="1"/>
  <c r="S1002" i="1" s="1"/>
  <c r="P941" i="1"/>
  <c r="J941" i="1"/>
  <c r="P929" i="1"/>
  <c r="R929" i="1" s="1"/>
  <c r="S929" i="1" s="1"/>
  <c r="R941" i="1" l="1"/>
  <c r="S941" i="1" s="1"/>
  <c r="P898" i="1"/>
  <c r="R898" i="1" s="1"/>
  <c r="S898" i="1" s="1"/>
  <c r="P98" i="1"/>
  <c r="R98" i="1" s="1"/>
  <c r="S98" i="1" s="1"/>
  <c r="P562" i="1"/>
  <c r="R562" i="1" s="1"/>
  <c r="S562" i="1" s="1"/>
  <c r="J199" i="1" l="1"/>
  <c r="H199" i="1"/>
  <c r="P199" i="1" s="1"/>
  <c r="R199" i="1" l="1"/>
  <c r="S199" i="1" s="1"/>
  <c r="P715" i="1"/>
  <c r="R715" i="1" s="1"/>
  <c r="S715" i="1" s="1"/>
  <c r="P911" i="1" l="1"/>
  <c r="P1036" i="1"/>
  <c r="R1036" i="1" s="1"/>
  <c r="S1036" i="1" s="1"/>
  <c r="P810" i="1"/>
  <c r="J810" i="1"/>
  <c r="P467" i="1"/>
  <c r="R467" i="1" s="1"/>
  <c r="S467" i="1" s="1"/>
  <c r="R810" i="1" l="1"/>
  <c r="S810" i="1" s="1"/>
  <c r="P403" i="1"/>
  <c r="R403" i="1" s="1"/>
  <c r="S403" i="1" s="1"/>
  <c r="P620" i="1"/>
  <c r="R620" i="1" s="1"/>
  <c r="S620" i="1" s="1"/>
  <c r="P617" i="1"/>
  <c r="J617" i="1"/>
  <c r="P619" i="1"/>
  <c r="R619" i="1" s="1"/>
  <c r="S619" i="1" s="1"/>
  <c r="R617" i="1" l="1"/>
  <c r="S617" i="1" s="1"/>
  <c r="P41" i="1" l="1"/>
  <c r="R41" i="1" s="1"/>
  <c r="S41" i="1" s="1"/>
  <c r="C958" i="1" l="1"/>
  <c r="C872" i="1"/>
  <c r="P706" i="1"/>
  <c r="R706" i="1" s="1"/>
  <c r="S706" i="1" s="1"/>
  <c r="C642" i="1"/>
  <c r="J616" i="1"/>
  <c r="P616" i="1"/>
  <c r="P599" i="1"/>
  <c r="R599" i="1" s="1"/>
  <c r="S599" i="1" s="1"/>
  <c r="R616" i="1" l="1"/>
  <c r="S616" i="1" s="1"/>
  <c r="P459" i="1"/>
  <c r="R459" i="1" s="1"/>
  <c r="S459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C266" i="1"/>
  <c r="J213" i="1"/>
  <c r="P213" i="1"/>
  <c r="P195" i="1"/>
  <c r="J195" i="1"/>
  <c r="P193" i="1"/>
  <c r="J193" i="1"/>
  <c r="P192" i="1"/>
  <c r="J192" i="1"/>
  <c r="P189" i="1"/>
  <c r="R189" i="1" s="1"/>
  <c r="S189" i="1" s="1"/>
  <c r="P157" i="1"/>
  <c r="R157" i="1" s="1"/>
  <c r="S157" i="1" s="1"/>
  <c r="P100" i="1"/>
  <c r="R100" i="1" s="1"/>
  <c r="S100" i="1" s="1"/>
  <c r="P93" i="1"/>
  <c r="R93" i="1" s="1"/>
  <c r="S93" i="1" s="1"/>
  <c r="P89" i="1"/>
  <c r="R89" i="1" s="1"/>
  <c r="S89" i="1" s="1"/>
  <c r="P87" i="1"/>
  <c r="R87" i="1" s="1"/>
  <c r="S87" i="1" s="1"/>
  <c r="P85" i="1"/>
  <c r="R85" i="1" s="1"/>
  <c r="S85" i="1" s="1"/>
  <c r="P56" i="1"/>
  <c r="R56" i="1" s="1"/>
  <c r="S56" i="1" s="1"/>
  <c r="P55" i="1"/>
  <c r="R55" i="1" s="1"/>
  <c r="S55" i="1" s="1"/>
  <c r="P49" i="1"/>
  <c r="R49" i="1" s="1"/>
  <c r="S49" i="1" s="1"/>
  <c r="P33" i="1"/>
  <c r="J33" i="1"/>
  <c r="J32" i="1"/>
  <c r="P32" i="1"/>
  <c r="J31" i="1"/>
  <c r="P31" i="1"/>
  <c r="J30" i="1"/>
  <c r="P23" i="1"/>
  <c r="R23" i="1" s="1"/>
  <c r="S23" i="1" s="1"/>
  <c r="R192" i="1" l="1"/>
  <c r="S192" i="1" s="1"/>
  <c r="R195" i="1"/>
  <c r="S195" i="1" s="1"/>
  <c r="R32" i="1"/>
  <c r="S32" i="1" s="1"/>
  <c r="R213" i="1"/>
  <c r="S213" i="1" s="1"/>
  <c r="R193" i="1"/>
  <c r="S193" i="1" s="1"/>
  <c r="R31" i="1"/>
  <c r="S31" i="1" s="1"/>
  <c r="R33" i="1"/>
  <c r="S33" i="1" s="1"/>
  <c r="P30" i="1"/>
  <c r="R30" i="1" s="1"/>
  <c r="S30" i="1" s="1"/>
  <c r="P697" i="1"/>
  <c r="R697" i="1" s="1"/>
  <c r="S697" i="1" s="1"/>
  <c r="P928" i="1" l="1"/>
  <c r="R928" i="1" s="1"/>
  <c r="S928" i="1" s="1"/>
  <c r="P551" i="1"/>
  <c r="R551" i="1" s="1"/>
  <c r="S551" i="1" s="1"/>
  <c r="P550" i="1"/>
  <c r="R550" i="1" s="1"/>
  <c r="S550" i="1" s="1"/>
  <c r="P363" i="1"/>
  <c r="R363" i="1" s="1"/>
  <c r="S363" i="1" s="1"/>
  <c r="P326" i="1"/>
  <c r="R326" i="1" s="1"/>
  <c r="S326" i="1" s="1"/>
  <c r="P565" i="1"/>
  <c r="R565" i="1" s="1"/>
  <c r="S565" i="1" s="1"/>
  <c r="P25" i="1"/>
  <c r="R25" i="1" s="1"/>
  <c r="S25" i="1" s="1"/>
  <c r="P1075" i="1" l="1"/>
  <c r="R1075" i="1" s="1"/>
  <c r="S1075" i="1" s="1"/>
  <c r="P841" i="1"/>
  <c r="R841" i="1" s="1"/>
  <c r="S841" i="1" s="1"/>
  <c r="P484" i="1"/>
  <c r="R484" i="1" s="1"/>
  <c r="S484" i="1" s="1"/>
  <c r="P890" i="1"/>
  <c r="R890" i="1" s="1"/>
  <c r="S890" i="1" s="1"/>
  <c r="P1053" i="1" l="1"/>
  <c r="R1053" i="1" s="1"/>
  <c r="S1053" i="1" s="1"/>
  <c r="P842" i="1" l="1"/>
  <c r="R842" i="1" s="1"/>
  <c r="S842" i="1" s="1"/>
  <c r="P1052" i="1" l="1"/>
  <c r="R1052" i="1" s="1"/>
  <c r="S1052" i="1" s="1"/>
  <c r="P783" i="1"/>
  <c r="R783" i="1" s="1"/>
  <c r="S783" i="1" s="1"/>
  <c r="P109" i="1"/>
  <c r="R109" i="1" s="1"/>
  <c r="S109" i="1" s="1"/>
  <c r="P110" i="1"/>
  <c r="R110" i="1" s="1"/>
  <c r="S110" i="1" s="1"/>
  <c r="P802" i="1" l="1"/>
  <c r="R802" i="1" s="1"/>
  <c r="S802" i="1" s="1"/>
  <c r="P829" i="1"/>
  <c r="R829" i="1" s="1"/>
  <c r="S829" i="1" s="1"/>
  <c r="P765" i="1"/>
  <c r="R765" i="1" s="1"/>
  <c r="S765" i="1" s="1"/>
  <c r="P477" i="1"/>
  <c r="R477" i="1" s="1"/>
  <c r="S477" i="1" s="1"/>
  <c r="P356" i="1"/>
  <c r="R356" i="1" s="1"/>
  <c r="S356" i="1" s="1"/>
  <c r="P268" i="1"/>
  <c r="R268" i="1" s="1"/>
  <c r="S268" i="1" s="1"/>
  <c r="P132" i="1" l="1"/>
  <c r="R132" i="1" s="1"/>
  <c r="S132" i="1" s="1"/>
  <c r="P101" i="1"/>
  <c r="R101" i="1" s="1"/>
  <c r="S101" i="1" s="1"/>
  <c r="P94" i="1"/>
  <c r="R94" i="1" s="1"/>
  <c r="S94" i="1" s="1"/>
  <c r="P90" i="1"/>
  <c r="R90" i="1" s="1"/>
  <c r="S90" i="1" s="1"/>
  <c r="P301" i="1" l="1"/>
  <c r="R301" i="1" s="1"/>
  <c r="S301" i="1" s="1"/>
  <c r="R911" i="1" l="1"/>
  <c r="S911" i="1" s="1"/>
  <c r="P598" i="1" l="1"/>
  <c r="R598" i="1" s="1"/>
  <c r="S598" i="1" s="1"/>
  <c r="P224" i="1" l="1"/>
  <c r="R224" i="1" s="1"/>
  <c r="S224" i="1" s="1"/>
  <c r="P226" i="1"/>
  <c r="R226" i="1" s="1"/>
  <c r="S226" i="1" s="1"/>
  <c r="P646" i="1" l="1"/>
  <c r="R646" i="1" s="1"/>
  <c r="S646" i="1" s="1"/>
  <c r="P647" i="1"/>
  <c r="R647" i="1" s="1"/>
  <c r="S647" i="1" s="1"/>
  <c r="P648" i="1"/>
  <c r="R648" i="1" s="1"/>
  <c r="S648" i="1" s="1"/>
  <c r="P645" i="1"/>
  <c r="R645" i="1" s="1"/>
  <c r="S645" i="1" s="1"/>
  <c r="P809" i="1" l="1"/>
  <c r="J809" i="1"/>
  <c r="P727" i="1"/>
  <c r="R727" i="1" s="1"/>
  <c r="S727" i="1" s="1"/>
  <c r="J782" i="1"/>
  <c r="P782" i="1"/>
  <c r="P781" i="1"/>
  <c r="R781" i="1" s="1"/>
  <c r="S781" i="1" s="1"/>
  <c r="P899" i="1"/>
  <c r="R899" i="1" s="1"/>
  <c r="S899" i="1" s="1"/>
  <c r="P371" i="1"/>
  <c r="R371" i="1" s="1"/>
  <c r="S371" i="1" s="1"/>
  <c r="P370" i="1"/>
  <c r="R370" i="1" s="1"/>
  <c r="S370" i="1" s="1"/>
  <c r="P369" i="1"/>
  <c r="R369" i="1" s="1"/>
  <c r="S369" i="1" s="1"/>
  <c r="J187" i="1"/>
  <c r="P187" i="1"/>
  <c r="P186" i="1"/>
  <c r="R186" i="1" s="1"/>
  <c r="S186" i="1" s="1"/>
  <c r="P99" i="1"/>
  <c r="R99" i="1" s="1"/>
  <c r="S99" i="1" s="1"/>
  <c r="P91" i="1"/>
  <c r="R91" i="1" s="1"/>
  <c r="S91" i="1" s="1"/>
  <c r="P88" i="1"/>
  <c r="R88" i="1" s="1"/>
  <c r="S88" i="1" s="1"/>
  <c r="P86" i="1"/>
  <c r="R86" i="1" s="1"/>
  <c r="S86" i="1" s="1"/>
  <c r="P64" i="1"/>
  <c r="R64" i="1" s="1"/>
  <c r="S64" i="1" s="1"/>
  <c r="P37" i="1"/>
  <c r="R37" i="1" s="1"/>
  <c r="S37" i="1" s="1"/>
  <c r="P568" i="1"/>
  <c r="R568" i="1" s="1"/>
  <c r="S568" i="1" s="1"/>
  <c r="P251" i="1"/>
  <c r="R251" i="1" s="1"/>
  <c r="S251" i="1" s="1"/>
  <c r="P252" i="1"/>
  <c r="R252" i="1" s="1"/>
  <c r="S252" i="1" s="1"/>
  <c r="J197" i="1"/>
  <c r="P197" i="1"/>
  <c r="P97" i="1"/>
  <c r="R97" i="1" s="1"/>
  <c r="S97" i="1" s="1"/>
  <c r="P96" i="1"/>
  <c r="R96" i="1" s="1"/>
  <c r="S96" i="1" s="1"/>
  <c r="P76" i="1"/>
  <c r="R76" i="1" s="1"/>
  <c r="S76" i="1" s="1"/>
  <c r="R782" i="1" l="1"/>
  <c r="S782" i="1" s="1"/>
  <c r="R809" i="1"/>
  <c r="S809" i="1" s="1"/>
  <c r="R187" i="1"/>
  <c r="S187" i="1" s="1"/>
  <c r="R197" i="1"/>
  <c r="S197" i="1" s="1"/>
  <c r="P533" i="1"/>
  <c r="J1037" i="1"/>
  <c r="J1034" i="1"/>
  <c r="P1034" i="1"/>
  <c r="P1083" i="1"/>
  <c r="R1083" i="1" s="1"/>
  <c r="S1083" i="1" s="1"/>
  <c r="P1080" i="1"/>
  <c r="R1080" i="1" s="1"/>
  <c r="S1080" i="1" s="1"/>
  <c r="P1077" i="1"/>
  <c r="R1077" i="1" s="1"/>
  <c r="S1077" i="1" s="1"/>
  <c r="P1073" i="1"/>
  <c r="J1073" i="1"/>
  <c r="P1072" i="1"/>
  <c r="J1072" i="1"/>
  <c r="P1071" i="1"/>
  <c r="J1071" i="1"/>
  <c r="P1070" i="1"/>
  <c r="J1070" i="1"/>
  <c r="P1069" i="1"/>
  <c r="R1069" i="1" s="1"/>
  <c r="S1069" i="1" s="1"/>
  <c r="P1068" i="1"/>
  <c r="J1068" i="1"/>
  <c r="P1067" i="1"/>
  <c r="J1067" i="1"/>
  <c r="P1066" i="1"/>
  <c r="J1066" i="1"/>
  <c r="P1065" i="1"/>
  <c r="J1065" i="1"/>
  <c r="P1063" i="1"/>
  <c r="R1063" i="1" s="1"/>
  <c r="S1063" i="1" s="1"/>
  <c r="P1062" i="1"/>
  <c r="R1062" i="1" s="1"/>
  <c r="S1062" i="1" s="1"/>
  <c r="P1061" i="1"/>
  <c r="R1061" i="1" s="1"/>
  <c r="S1061" i="1" s="1"/>
  <c r="P1060" i="1"/>
  <c r="R1060" i="1" s="1"/>
  <c r="S1060" i="1" s="1"/>
  <c r="P1058" i="1"/>
  <c r="R1058" i="1" s="1"/>
  <c r="S1058" i="1" s="1"/>
  <c r="P1057" i="1"/>
  <c r="R1057" i="1" s="1"/>
  <c r="S1057" i="1" s="1"/>
  <c r="P1056" i="1"/>
  <c r="R1056" i="1" s="1"/>
  <c r="S1056" i="1" s="1"/>
  <c r="P1055" i="1"/>
  <c r="R1055" i="1" s="1"/>
  <c r="S1055" i="1" s="1"/>
  <c r="P1054" i="1"/>
  <c r="R1054" i="1" s="1"/>
  <c r="S1054" i="1" s="1"/>
  <c r="P1051" i="1"/>
  <c r="R1051" i="1" s="1"/>
  <c r="S1051" i="1" s="1"/>
  <c r="P1048" i="1"/>
  <c r="J1048" i="1"/>
  <c r="P1047" i="1"/>
  <c r="J1047" i="1"/>
  <c r="P1046" i="1"/>
  <c r="J1046" i="1"/>
  <c r="P1045" i="1"/>
  <c r="J1045" i="1"/>
  <c r="P1044" i="1"/>
  <c r="J1044" i="1"/>
  <c r="P1042" i="1"/>
  <c r="R1042" i="1" s="1"/>
  <c r="S1042" i="1" s="1"/>
  <c r="S1041" i="1"/>
  <c r="P1039" i="1"/>
  <c r="J1039" i="1"/>
  <c r="P1038" i="1"/>
  <c r="J1038" i="1"/>
  <c r="P1037" i="1"/>
  <c r="P1030" i="1"/>
  <c r="R1030" i="1" s="1"/>
  <c r="S1030" i="1" s="1"/>
  <c r="S1029" i="1"/>
  <c r="P1027" i="1"/>
  <c r="R1027" i="1" s="1"/>
  <c r="S1027" i="1" s="1"/>
  <c r="P1026" i="1"/>
  <c r="R1026" i="1" s="1"/>
  <c r="S1026" i="1" s="1"/>
  <c r="P1025" i="1"/>
  <c r="J1025" i="1"/>
  <c r="P1024" i="1"/>
  <c r="J1024" i="1"/>
  <c r="P1022" i="1"/>
  <c r="R1022" i="1" s="1"/>
  <c r="S1022" i="1" s="1"/>
  <c r="P1021" i="1"/>
  <c r="R1021" i="1" s="1"/>
  <c r="S1021" i="1" s="1"/>
  <c r="P1019" i="1"/>
  <c r="R1019" i="1" s="1"/>
  <c r="S1019" i="1" s="1"/>
  <c r="P1018" i="1"/>
  <c r="R1018" i="1" s="1"/>
  <c r="S1018" i="1" s="1"/>
  <c r="P1017" i="1"/>
  <c r="R1017" i="1" s="1"/>
  <c r="S1017" i="1" s="1"/>
  <c r="P1013" i="1"/>
  <c r="J1013" i="1"/>
  <c r="P1010" i="1"/>
  <c r="J1010" i="1"/>
  <c r="P1009" i="1"/>
  <c r="J1009" i="1"/>
  <c r="P1008" i="1"/>
  <c r="R1008" i="1" s="1"/>
  <c r="S1008" i="1" s="1"/>
  <c r="P1007" i="1"/>
  <c r="R1007" i="1" s="1"/>
  <c r="S1007" i="1" s="1"/>
  <c r="J1006" i="1"/>
  <c r="P1006" i="1"/>
  <c r="J1005" i="1"/>
  <c r="P1005" i="1"/>
  <c r="P1003" i="1"/>
  <c r="R1003" i="1" s="1"/>
  <c r="S1003" i="1" s="1"/>
  <c r="P1001" i="1"/>
  <c r="R1001" i="1" s="1"/>
  <c r="S1001" i="1" s="1"/>
  <c r="P1000" i="1"/>
  <c r="R1000" i="1" s="1"/>
  <c r="S1000" i="1" s="1"/>
  <c r="P999" i="1"/>
  <c r="R999" i="1" s="1"/>
  <c r="S999" i="1" s="1"/>
  <c r="P998" i="1"/>
  <c r="R998" i="1" s="1"/>
  <c r="S998" i="1" s="1"/>
  <c r="P996" i="1"/>
  <c r="R996" i="1" s="1"/>
  <c r="S996" i="1" s="1"/>
  <c r="P995" i="1"/>
  <c r="R995" i="1" s="1"/>
  <c r="S995" i="1" s="1"/>
  <c r="P994" i="1"/>
  <c r="R994" i="1" s="1"/>
  <c r="S994" i="1" s="1"/>
  <c r="P993" i="1"/>
  <c r="R993" i="1" s="1"/>
  <c r="S993" i="1" s="1"/>
  <c r="P992" i="1"/>
  <c r="R992" i="1" s="1"/>
  <c r="S992" i="1" s="1"/>
  <c r="P989" i="1"/>
  <c r="R989" i="1" s="1"/>
  <c r="S989" i="1" s="1"/>
  <c r="P986" i="1"/>
  <c r="R986" i="1" s="1"/>
  <c r="S986" i="1" s="1"/>
  <c r="P983" i="1"/>
  <c r="R983" i="1" s="1"/>
  <c r="S983" i="1" s="1"/>
  <c r="P982" i="1"/>
  <c r="R982" i="1" s="1"/>
  <c r="S982" i="1" s="1"/>
  <c r="P981" i="1"/>
  <c r="R981" i="1" s="1"/>
  <c r="S981" i="1" s="1"/>
  <c r="P979" i="1"/>
  <c r="J979" i="1"/>
  <c r="P978" i="1"/>
  <c r="J978" i="1"/>
  <c r="P977" i="1"/>
  <c r="J977" i="1"/>
  <c r="P975" i="1"/>
  <c r="R975" i="1" s="1"/>
  <c r="S975" i="1" s="1"/>
  <c r="P973" i="1"/>
  <c r="R973" i="1" s="1"/>
  <c r="S973" i="1" s="1"/>
  <c r="P972" i="1"/>
  <c r="R972" i="1" s="1"/>
  <c r="S972" i="1" s="1"/>
  <c r="P969" i="1"/>
  <c r="R969" i="1" s="1"/>
  <c r="S969" i="1" s="1"/>
  <c r="P967" i="1"/>
  <c r="R967" i="1" s="1"/>
  <c r="S967" i="1" s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1" i="1"/>
  <c r="J961" i="1"/>
  <c r="P960" i="1"/>
  <c r="J960" i="1"/>
  <c r="J959" i="1"/>
  <c r="P959" i="1"/>
  <c r="P958" i="1"/>
  <c r="J958" i="1"/>
  <c r="P957" i="1"/>
  <c r="R957" i="1" s="1"/>
  <c r="S957" i="1" s="1"/>
  <c r="P956" i="1"/>
  <c r="J956" i="1"/>
  <c r="P954" i="1"/>
  <c r="J954" i="1"/>
  <c r="J953" i="1"/>
  <c r="P953" i="1"/>
  <c r="P952" i="1"/>
  <c r="J952" i="1"/>
  <c r="P951" i="1"/>
  <c r="J951" i="1"/>
  <c r="P950" i="1"/>
  <c r="R950" i="1" s="1"/>
  <c r="S950" i="1" s="1"/>
  <c r="P949" i="1"/>
  <c r="J949" i="1"/>
  <c r="P948" i="1"/>
  <c r="J948" i="1"/>
  <c r="P947" i="1"/>
  <c r="J947" i="1"/>
  <c r="P946" i="1"/>
  <c r="J946" i="1"/>
  <c r="P945" i="1"/>
  <c r="J945" i="1"/>
  <c r="P944" i="1"/>
  <c r="J944" i="1"/>
  <c r="P943" i="1"/>
  <c r="J943" i="1"/>
  <c r="P942" i="1"/>
  <c r="J942" i="1"/>
  <c r="P939" i="1"/>
  <c r="R939" i="1" s="1"/>
  <c r="S939" i="1" s="1"/>
  <c r="P938" i="1"/>
  <c r="R938" i="1" s="1"/>
  <c r="S938" i="1" s="1"/>
  <c r="P937" i="1"/>
  <c r="R937" i="1" s="1"/>
  <c r="S937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P931" i="1"/>
  <c r="R931" i="1" s="1"/>
  <c r="S931" i="1" s="1"/>
  <c r="P930" i="1"/>
  <c r="J930" i="1"/>
  <c r="P927" i="1"/>
  <c r="R927" i="1" s="1"/>
  <c r="S927" i="1" s="1"/>
  <c r="P926" i="1"/>
  <c r="R926" i="1" s="1"/>
  <c r="S926" i="1" s="1"/>
  <c r="P925" i="1"/>
  <c r="R925" i="1" s="1"/>
  <c r="S925" i="1" s="1"/>
  <c r="P922" i="1"/>
  <c r="J922" i="1"/>
  <c r="P920" i="1"/>
  <c r="R920" i="1" s="1"/>
  <c r="S920" i="1" s="1"/>
  <c r="P919" i="1"/>
  <c r="R919" i="1" s="1"/>
  <c r="S919" i="1" s="1"/>
  <c r="P915" i="1"/>
  <c r="J915" i="1"/>
  <c r="P914" i="1"/>
  <c r="J914" i="1"/>
  <c r="P912" i="1"/>
  <c r="R912" i="1" s="1"/>
  <c r="S912" i="1" s="1"/>
  <c r="P910" i="1"/>
  <c r="J910" i="1"/>
  <c r="P909" i="1"/>
  <c r="J909" i="1"/>
  <c r="P906" i="1"/>
  <c r="J906" i="1"/>
  <c r="P905" i="1"/>
  <c r="J905" i="1"/>
  <c r="P904" i="1"/>
  <c r="R904" i="1" s="1"/>
  <c r="S904" i="1" s="1"/>
  <c r="P903" i="1"/>
  <c r="R903" i="1" s="1"/>
  <c r="S903" i="1" s="1"/>
  <c r="P902" i="1"/>
  <c r="J902" i="1"/>
  <c r="P901" i="1"/>
  <c r="J901" i="1"/>
  <c r="P897" i="1"/>
  <c r="R897" i="1" s="1"/>
  <c r="S897" i="1" s="1"/>
  <c r="P893" i="1"/>
  <c r="R893" i="1" s="1"/>
  <c r="S893" i="1" s="1"/>
  <c r="P889" i="1"/>
  <c r="R889" i="1" s="1"/>
  <c r="S889" i="1" s="1"/>
  <c r="P884" i="1"/>
  <c r="R884" i="1" s="1"/>
  <c r="S884" i="1" s="1"/>
  <c r="P883" i="1"/>
  <c r="J883" i="1"/>
  <c r="P882" i="1"/>
  <c r="J882" i="1"/>
  <c r="P880" i="1"/>
  <c r="R880" i="1" s="1"/>
  <c r="S880" i="1" s="1"/>
  <c r="P879" i="1"/>
  <c r="R879" i="1" s="1"/>
  <c r="S879" i="1" s="1"/>
  <c r="P875" i="1"/>
  <c r="J875" i="1"/>
  <c r="P874" i="1"/>
  <c r="J874" i="1"/>
  <c r="P873" i="1"/>
  <c r="J873" i="1"/>
  <c r="P872" i="1"/>
  <c r="J872" i="1"/>
  <c r="P871" i="1"/>
  <c r="J871" i="1"/>
  <c r="P870" i="1"/>
  <c r="J870" i="1"/>
  <c r="P869" i="1"/>
  <c r="J869" i="1"/>
  <c r="J868" i="1"/>
  <c r="P868" i="1"/>
  <c r="P867" i="1"/>
  <c r="J867" i="1"/>
  <c r="P865" i="1"/>
  <c r="R865" i="1" s="1"/>
  <c r="S865" i="1" s="1"/>
  <c r="P864" i="1"/>
  <c r="R864" i="1" s="1"/>
  <c r="S864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6" i="1"/>
  <c r="J856" i="1"/>
  <c r="P854" i="1"/>
  <c r="R854" i="1" s="1"/>
  <c r="S854" i="1" s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0" i="1"/>
  <c r="R840" i="1" s="1"/>
  <c r="S840" i="1" s="1"/>
  <c r="P839" i="1"/>
  <c r="R839" i="1" s="1"/>
  <c r="S839" i="1" s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3" i="1"/>
  <c r="J833" i="1"/>
  <c r="P831" i="1"/>
  <c r="R831" i="1" s="1"/>
  <c r="S831" i="1" s="1"/>
  <c r="P830" i="1"/>
  <c r="R830" i="1" s="1"/>
  <c r="S830" i="1" s="1"/>
  <c r="P828" i="1"/>
  <c r="R828" i="1" s="1"/>
  <c r="S828" i="1" s="1"/>
  <c r="P821" i="1"/>
  <c r="R821" i="1" s="1"/>
  <c r="S821" i="1" s="1"/>
  <c r="P820" i="1"/>
  <c r="J820" i="1"/>
  <c r="P819" i="1"/>
  <c r="J819" i="1"/>
  <c r="P818" i="1"/>
  <c r="J818" i="1"/>
  <c r="P817" i="1"/>
  <c r="J817" i="1"/>
  <c r="P816" i="1"/>
  <c r="J816" i="1"/>
  <c r="P815" i="1"/>
  <c r="J815" i="1"/>
  <c r="P814" i="1"/>
  <c r="J814" i="1"/>
  <c r="P813" i="1"/>
  <c r="J813" i="1"/>
  <c r="J812" i="1"/>
  <c r="P812" i="1"/>
  <c r="J811" i="1"/>
  <c r="P811" i="1"/>
  <c r="P807" i="1"/>
  <c r="R807" i="1" s="1"/>
  <c r="S807" i="1" s="1"/>
  <c r="P806" i="1"/>
  <c r="R806" i="1" s="1"/>
  <c r="S806" i="1" s="1"/>
  <c r="P805" i="1"/>
  <c r="R805" i="1" s="1"/>
  <c r="S805" i="1" s="1"/>
  <c r="P804" i="1"/>
  <c r="R804" i="1" s="1"/>
  <c r="S804" i="1" s="1"/>
  <c r="P803" i="1"/>
  <c r="R803" i="1" s="1"/>
  <c r="S803" i="1" s="1"/>
  <c r="P801" i="1"/>
  <c r="R801" i="1" s="1"/>
  <c r="S801" i="1" s="1"/>
  <c r="P800" i="1"/>
  <c r="R800" i="1" s="1"/>
  <c r="S800" i="1" s="1"/>
  <c r="P799" i="1"/>
  <c r="R799" i="1" s="1"/>
  <c r="S799" i="1" s="1"/>
  <c r="P798" i="1"/>
  <c r="R798" i="1" s="1"/>
  <c r="S798" i="1" s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H791" i="1"/>
  <c r="P791" i="1" s="1"/>
  <c r="R791" i="1" s="1"/>
  <c r="S791" i="1" s="1"/>
  <c r="P787" i="1"/>
  <c r="R787" i="1" s="1"/>
  <c r="S787" i="1" s="1"/>
  <c r="P786" i="1"/>
  <c r="J786" i="1"/>
  <c r="P784" i="1"/>
  <c r="R784" i="1" s="1"/>
  <c r="S784" i="1" s="1"/>
  <c r="P780" i="1"/>
  <c r="R780" i="1" s="1"/>
  <c r="S780" i="1" s="1"/>
  <c r="P779" i="1"/>
  <c r="R779" i="1" s="1"/>
  <c r="S779" i="1" s="1"/>
  <c r="P776" i="1"/>
  <c r="R776" i="1" s="1"/>
  <c r="S776" i="1" s="1"/>
  <c r="P775" i="1"/>
  <c r="R775" i="1" s="1"/>
  <c r="S775" i="1" s="1"/>
  <c r="P774" i="1"/>
  <c r="R774" i="1" s="1"/>
  <c r="S774" i="1" s="1"/>
  <c r="P772" i="1"/>
  <c r="J772" i="1"/>
  <c r="P771" i="1"/>
  <c r="J771" i="1"/>
  <c r="P770" i="1"/>
  <c r="R770" i="1" s="1"/>
  <c r="S770" i="1" s="1"/>
  <c r="P769" i="1"/>
  <c r="J769" i="1"/>
  <c r="P768" i="1"/>
  <c r="J768" i="1"/>
  <c r="P766" i="1"/>
  <c r="R766" i="1" s="1"/>
  <c r="S766" i="1" s="1"/>
  <c r="P764" i="1"/>
  <c r="R764" i="1" s="1"/>
  <c r="S764" i="1" s="1"/>
  <c r="P763" i="1"/>
  <c r="R763" i="1" s="1"/>
  <c r="S763" i="1" s="1"/>
  <c r="P762" i="1"/>
  <c r="R762" i="1" s="1"/>
  <c r="S762" i="1" s="1"/>
  <c r="P761" i="1"/>
  <c r="R761" i="1" s="1"/>
  <c r="S761" i="1" s="1"/>
  <c r="P760" i="1"/>
  <c r="R760" i="1" s="1"/>
  <c r="S760" i="1" s="1"/>
  <c r="P757" i="1"/>
  <c r="R757" i="1" s="1"/>
  <c r="S757" i="1" s="1"/>
  <c r="P756" i="1"/>
  <c r="R756" i="1" s="1"/>
  <c r="S756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R750" i="1" s="1"/>
  <c r="S750" i="1" s="1"/>
  <c r="P749" i="1"/>
  <c r="R749" i="1" s="1"/>
  <c r="S749" i="1" s="1"/>
  <c r="P746" i="1"/>
  <c r="R746" i="1" s="1"/>
  <c r="S746" i="1" s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J736" i="1"/>
  <c r="P736" i="1"/>
  <c r="P735" i="1"/>
  <c r="J735" i="1"/>
  <c r="P734" i="1"/>
  <c r="R734" i="1" s="1"/>
  <c r="S734" i="1" s="1"/>
  <c r="P733" i="1"/>
  <c r="J733" i="1"/>
  <c r="P732" i="1"/>
  <c r="J732" i="1"/>
  <c r="J731" i="1"/>
  <c r="P731" i="1"/>
  <c r="J730" i="1"/>
  <c r="P730" i="1"/>
  <c r="P729" i="1"/>
  <c r="J729" i="1"/>
  <c r="P728" i="1"/>
  <c r="J728" i="1"/>
  <c r="P726" i="1"/>
  <c r="J726" i="1"/>
  <c r="P724" i="1"/>
  <c r="R724" i="1" s="1"/>
  <c r="S724" i="1" s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3" i="1"/>
  <c r="R713" i="1" s="1"/>
  <c r="S713" i="1" s="1"/>
  <c r="P712" i="1"/>
  <c r="R712" i="1" s="1"/>
  <c r="S712" i="1" s="1"/>
  <c r="P711" i="1"/>
  <c r="R711" i="1" s="1"/>
  <c r="S711" i="1" s="1"/>
  <c r="P710" i="1"/>
  <c r="R710" i="1" s="1"/>
  <c r="S710" i="1" s="1"/>
  <c r="P709" i="1"/>
  <c r="R709" i="1" s="1"/>
  <c r="S709" i="1" s="1"/>
  <c r="P705" i="1"/>
  <c r="R705" i="1" s="1"/>
  <c r="S705" i="1" s="1"/>
  <c r="P703" i="1"/>
  <c r="J703" i="1"/>
  <c r="P700" i="1"/>
  <c r="J700" i="1"/>
  <c r="P699" i="1"/>
  <c r="J699" i="1"/>
  <c r="P696" i="1"/>
  <c r="R696" i="1" s="1"/>
  <c r="S696" i="1" s="1"/>
  <c r="P693" i="1"/>
  <c r="R693" i="1" s="1"/>
  <c r="S693" i="1" s="1"/>
  <c r="P691" i="1"/>
  <c r="J691" i="1"/>
  <c r="P690" i="1"/>
  <c r="J690" i="1"/>
  <c r="P687" i="1"/>
  <c r="R687" i="1" s="1"/>
  <c r="S687" i="1" s="1"/>
  <c r="P685" i="1"/>
  <c r="R685" i="1" s="1"/>
  <c r="S685" i="1" s="1"/>
  <c r="P684" i="1"/>
  <c r="J684" i="1"/>
  <c r="P681" i="1"/>
  <c r="J681" i="1"/>
  <c r="P680" i="1"/>
  <c r="J680" i="1"/>
  <c r="P679" i="1"/>
  <c r="J679" i="1"/>
  <c r="P677" i="1"/>
  <c r="R677" i="1" s="1"/>
  <c r="S677" i="1" s="1"/>
  <c r="P674" i="1"/>
  <c r="J674" i="1"/>
  <c r="P673" i="1"/>
  <c r="J673" i="1"/>
  <c r="P671" i="1"/>
  <c r="R671" i="1" s="1"/>
  <c r="S671" i="1" s="1"/>
  <c r="P670" i="1"/>
  <c r="R670" i="1" s="1"/>
  <c r="S670" i="1" s="1"/>
  <c r="P669" i="1"/>
  <c r="R669" i="1" s="1"/>
  <c r="S669" i="1" s="1"/>
  <c r="P668" i="1"/>
  <c r="R668" i="1" s="1"/>
  <c r="S668" i="1" s="1"/>
  <c r="P667" i="1"/>
  <c r="R667" i="1" s="1"/>
  <c r="S667" i="1" s="1"/>
  <c r="P666" i="1"/>
  <c r="R666" i="1" s="1"/>
  <c r="S666" i="1" s="1"/>
  <c r="P663" i="1"/>
  <c r="R663" i="1" s="1"/>
  <c r="S663" i="1" s="1"/>
  <c r="P662" i="1"/>
  <c r="R662" i="1" s="1"/>
  <c r="S662" i="1" s="1"/>
  <c r="P660" i="1"/>
  <c r="R660" i="1" s="1"/>
  <c r="S660" i="1" s="1"/>
  <c r="P642" i="1"/>
  <c r="R642" i="1" s="1"/>
  <c r="S642" i="1" s="1"/>
  <c r="P640" i="1"/>
  <c r="J640" i="1"/>
  <c r="P639" i="1"/>
  <c r="R639" i="1" s="1"/>
  <c r="S639" i="1" s="1"/>
  <c r="P638" i="1"/>
  <c r="R638" i="1" s="1"/>
  <c r="S638" i="1" s="1"/>
  <c r="P637" i="1"/>
  <c r="R637" i="1" s="1"/>
  <c r="S637" i="1" s="1"/>
  <c r="P635" i="1"/>
  <c r="J635" i="1"/>
  <c r="P634" i="1"/>
  <c r="J634" i="1"/>
  <c r="P633" i="1"/>
  <c r="J633" i="1"/>
  <c r="P632" i="1"/>
  <c r="J632" i="1"/>
  <c r="J631" i="1"/>
  <c r="P631" i="1"/>
  <c r="P630" i="1"/>
  <c r="J630" i="1"/>
  <c r="P629" i="1"/>
  <c r="J629" i="1"/>
  <c r="P628" i="1"/>
  <c r="J628" i="1"/>
  <c r="P627" i="1"/>
  <c r="R627" i="1" s="1"/>
  <c r="S627" i="1" s="1"/>
  <c r="P626" i="1"/>
  <c r="J626" i="1"/>
  <c r="J625" i="1"/>
  <c r="P625" i="1"/>
  <c r="P624" i="1"/>
  <c r="J624" i="1"/>
  <c r="P623" i="1"/>
  <c r="J623" i="1"/>
  <c r="P622" i="1"/>
  <c r="J622" i="1"/>
  <c r="P621" i="1"/>
  <c r="J621" i="1"/>
  <c r="P618" i="1"/>
  <c r="J618" i="1"/>
  <c r="P615" i="1"/>
  <c r="J615" i="1"/>
  <c r="P614" i="1"/>
  <c r="J614" i="1"/>
  <c r="P613" i="1"/>
  <c r="J613" i="1"/>
  <c r="P612" i="1"/>
  <c r="J612" i="1"/>
  <c r="P611" i="1"/>
  <c r="R611" i="1" s="1"/>
  <c r="S611" i="1" s="1"/>
  <c r="P610" i="1"/>
  <c r="J610" i="1"/>
  <c r="P609" i="1"/>
  <c r="J609" i="1"/>
  <c r="P608" i="1"/>
  <c r="R608" i="1" s="1"/>
  <c r="S608" i="1" s="1"/>
  <c r="P606" i="1"/>
  <c r="R606" i="1" s="1"/>
  <c r="S606" i="1" s="1"/>
  <c r="P605" i="1"/>
  <c r="R605" i="1" s="1"/>
  <c r="S605" i="1" s="1"/>
  <c r="P604" i="1"/>
  <c r="R604" i="1" s="1"/>
  <c r="S604" i="1" s="1"/>
  <c r="P603" i="1"/>
  <c r="R603" i="1" s="1"/>
  <c r="S603" i="1" s="1"/>
  <c r="P602" i="1"/>
  <c r="R602" i="1" s="1"/>
  <c r="S602" i="1" s="1"/>
  <c r="P601" i="1"/>
  <c r="R601" i="1" s="1"/>
  <c r="S601" i="1" s="1"/>
  <c r="P600" i="1"/>
  <c r="R600" i="1" s="1"/>
  <c r="S600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3" i="1"/>
  <c r="R593" i="1" s="1"/>
  <c r="S593" i="1" s="1"/>
  <c r="P592" i="1"/>
  <c r="R592" i="1" s="1"/>
  <c r="S592" i="1" s="1"/>
  <c r="P591" i="1"/>
  <c r="R591" i="1" s="1"/>
  <c r="S591" i="1" s="1"/>
  <c r="P590" i="1"/>
  <c r="R590" i="1" s="1"/>
  <c r="S590" i="1" s="1"/>
  <c r="P588" i="1"/>
  <c r="R588" i="1" s="1"/>
  <c r="S588" i="1" s="1"/>
  <c r="P587" i="1"/>
  <c r="R587" i="1" s="1"/>
  <c r="S587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79" i="1"/>
  <c r="J579" i="1"/>
  <c r="P578" i="1"/>
  <c r="J578" i="1"/>
  <c r="P577" i="1"/>
  <c r="R577" i="1" s="1"/>
  <c r="S577" i="1" s="1"/>
  <c r="P576" i="1"/>
  <c r="R576" i="1" s="1"/>
  <c r="S576" i="1" s="1"/>
  <c r="P575" i="1"/>
  <c r="R575" i="1" s="1"/>
  <c r="S575" i="1" s="1"/>
  <c r="P574" i="1"/>
  <c r="J574" i="1"/>
  <c r="P573" i="1"/>
  <c r="R573" i="1" s="1"/>
  <c r="S573" i="1" s="1"/>
  <c r="P569" i="1"/>
  <c r="R569" i="1" s="1"/>
  <c r="S569" i="1" s="1"/>
  <c r="P567" i="1"/>
  <c r="R567" i="1" s="1"/>
  <c r="S567" i="1" s="1"/>
  <c r="P566" i="1"/>
  <c r="R566" i="1" s="1"/>
  <c r="S566" i="1" s="1"/>
  <c r="P564" i="1"/>
  <c r="R564" i="1" s="1"/>
  <c r="S564" i="1" s="1"/>
  <c r="P563" i="1"/>
  <c r="R563" i="1" s="1"/>
  <c r="S563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4" i="1"/>
  <c r="J554" i="1"/>
  <c r="P553" i="1"/>
  <c r="J553" i="1"/>
  <c r="P547" i="1"/>
  <c r="R547" i="1" s="1"/>
  <c r="S547" i="1" s="1"/>
  <c r="P546" i="1"/>
  <c r="R546" i="1" s="1"/>
  <c r="S546" i="1" s="1"/>
  <c r="J543" i="1"/>
  <c r="P543" i="1"/>
  <c r="J542" i="1"/>
  <c r="P542" i="1"/>
  <c r="P541" i="1"/>
  <c r="J541" i="1"/>
  <c r="P539" i="1"/>
  <c r="R539" i="1" s="1"/>
  <c r="S539" i="1" s="1"/>
  <c r="P538" i="1"/>
  <c r="R538" i="1" s="1"/>
  <c r="S538" i="1" s="1"/>
  <c r="P535" i="1"/>
  <c r="R535" i="1" s="1"/>
  <c r="S535" i="1" s="1"/>
  <c r="J534" i="1"/>
  <c r="P534" i="1"/>
  <c r="J533" i="1"/>
  <c r="J532" i="1"/>
  <c r="P532" i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2" i="1"/>
  <c r="R522" i="1" s="1"/>
  <c r="S522" i="1" s="1"/>
  <c r="J519" i="1"/>
  <c r="P519" i="1"/>
  <c r="P518" i="1"/>
  <c r="J518" i="1"/>
  <c r="P517" i="1"/>
  <c r="J517" i="1"/>
  <c r="P516" i="1"/>
  <c r="J516" i="1"/>
  <c r="P514" i="1"/>
  <c r="R514" i="1" s="1"/>
  <c r="S514" i="1" s="1"/>
  <c r="P513" i="1"/>
  <c r="R513" i="1" s="1"/>
  <c r="S513" i="1" s="1"/>
  <c r="P512" i="1"/>
  <c r="R512" i="1" s="1"/>
  <c r="S512" i="1" s="1"/>
  <c r="P511" i="1"/>
  <c r="R511" i="1" s="1"/>
  <c r="S511" i="1" s="1"/>
  <c r="P510" i="1"/>
  <c r="R510" i="1" s="1"/>
  <c r="S510" i="1" s="1"/>
  <c r="P509" i="1"/>
  <c r="R509" i="1" s="1"/>
  <c r="S509" i="1" s="1"/>
  <c r="P506" i="1"/>
  <c r="R506" i="1" s="1"/>
  <c r="S506" i="1" s="1"/>
  <c r="P503" i="1"/>
  <c r="R503" i="1" s="1"/>
  <c r="S503" i="1" s="1"/>
  <c r="P501" i="1"/>
  <c r="R501" i="1" s="1"/>
  <c r="S501" i="1" s="1"/>
  <c r="J498" i="1"/>
  <c r="P498" i="1"/>
  <c r="J497" i="1"/>
  <c r="P497" i="1"/>
  <c r="P496" i="1"/>
  <c r="J496" i="1"/>
  <c r="P494" i="1"/>
  <c r="J494" i="1"/>
  <c r="J493" i="1"/>
  <c r="P493" i="1"/>
  <c r="P492" i="1"/>
  <c r="J492" i="1"/>
  <c r="P491" i="1"/>
  <c r="J491" i="1"/>
  <c r="P490" i="1"/>
  <c r="J490" i="1"/>
  <c r="P489" i="1"/>
  <c r="J489" i="1"/>
  <c r="J488" i="1"/>
  <c r="P488" i="1"/>
  <c r="P487" i="1"/>
  <c r="J487" i="1"/>
  <c r="S486" i="1"/>
  <c r="P482" i="1"/>
  <c r="J482" i="1"/>
  <c r="P481" i="1"/>
  <c r="J481" i="1"/>
  <c r="J480" i="1"/>
  <c r="P480" i="1"/>
  <c r="P478" i="1"/>
  <c r="J478" i="1"/>
  <c r="P476" i="1"/>
  <c r="J476" i="1"/>
  <c r="P475" i="1"/>
  <c r="J475" i="1"/>
  <c r="P474" i="1"/>
  <c r="J474" i="1"/>
  <c r="P473" i="1"/>
  <c r="J473" i="1"/>
  <c r="P469" i="1"/>
  <c r="J469" i="1"/>
  <c r="P466" i="1"/>
  <c r="R466" i="1" s="1"/>
  <c r="S466" i="1" s="1"/>
  <c r="P463" i="1"/>
  <c r="J463" i="1"/>
  <c r="P462" i="1"/>
  <c r="J462" i="1"/>
  <c r="P461" i="1"/>
  <c r="J461" i="1"/>
  <c r="P455" i="1"/>
  <c r="J455" i="1"/>
  <c r="P454" i="1"/>
  <c r="J454" i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4" i="1"/>
  <c r="R444" i="1" s="1"/>
  <c r="S444" i="1" s="1"/>
  <c r="P443" i="1"/>
  <c r="R443" i="1" s="1"/>
  <c r="S443" i="1" s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20" i="1"/>
  <c r="R420" i="1" s="1"/>
  <c r="S420" i="1" s="1"/>
  <c r="P417" i="1"/>
  <c r="R417" i="1" s="1"/>
  <c r="S417" i="1" s="1"/>
  <c r="P416" i="1"/>
  <c r="R416" i="1" s="1"/>
  <c r="S416" i="1" s="1"/>
  <c r="P414" i="1"/>
  <c r="R414" i="1" s="1"/>
  <c r="S414" i="1" s="1"/>
  <c r="P413" i="1"/>
  <c r="R413" i="1" s="1"/>
  <c r="S413" i="1" s="1"/>
  <c r="P412" i="1"/>
  <c r="R412" i="1" s="1"/>
  <c r="S412" i="1" s="1"/>
  <c r="P409" i="1"/>
  <c r="R409" i="1" s="1"/>
  <c r="S409" i="1" s="1"/>
  <c r="P407" i="1"/>
  <c r="J407" i="1"/>
  <c r="P402" i="1"/>
  <c r="J402" i="1"/>
  <c r="P401" i="1"/>
  <c r="J401" i="1"/>
  <c r="P398" i="1"/>
  <c r="J398" i="1"/>
  <c r="P397" i="1"/>
  <c r="J397" i="1"/>
  <c r="P396" i="1"/>
  <c r="J396" i="1"/>
  <c r="P395" i="1"/>
  <c r="J395" i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S387" i="1" s="1"/>
  <c r="P383" i="1"/>
  <c r="R383" i="1" s="1"/>
  <c r="S383" i="1" s="1"/>
  <c r="P381" i="1"/>
  <c r="R381" i="1" s="1"/>
  <c r="S381" i="1" s="1"/>
  <c r="P377" i="1"/>
  <c r="J377" i="1"/>
  <c r="P376" i="1"/>
  <c r="J376" i="1"/>
  <c r="P373" i="1"/>
  <c r="J373" i="1"/>
  <c r="P372" i="1"/>
  <c r="J372" i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2" i="1"/>
  <c r="R362" i="1" s="1"/>
  <c r="S362" i="1" s="1"/>
  <c r="P361" i="1"/>
  <c r="R361" i="1" s="1"/>
  <c r="S361" i="1" s="1"/>
  <c r="P360" i="1"/>
  <c r="R360" i="1" s="1"/>
  <c r="S360" i="1" s="1"/>
  <c r="P359" i="1"/>
  <c r="R359" i="1" s="1"/>
  <c r="S359" i="1" s="1"/>
  <c r="P358" i="1"/>
  <c r="R358" i="1" s="1"/>
  <c r="S358" i="1" s="1"/>
  <c r="P357" i="1"/>
  <c r="R357" i="1" s="1"/>
  <c r="S357" i="1" s="1"/>
  <c r="P355" i="1"/>
  <c r="J355" i="1"/>
  <c r="P352" i="1"/>
  <c r="J352" i="1"/>
  <c r="P349" i="1"/>
  <c r="J349" i="1"/>
  <c r="P348" i="1"/>
  <c r="J348" i="1"/>
  <c r="P347" i="1"/>
  <c r="J347" i="1"/>
  <c r="P346" i="1"/>
  <c r="J346" i="1"/>
  <c r="P345" i="1"/>
  <c r="J345" i="1"/>
  <c r="P344" i="1"/>
  <c r="J344" i="1"/>
  <c r="P343" i="1"/>
  <c r="J343" i="1"/>
  <c r="P339" i="1"/>
  <c r="R339" i="1" s="1"/>
  <c r="S339" i="1" s="1"/>
  <c r="P336" i="1"/>
  <c r="R336" i="1" s="1"/>
  <c r="S336" i="1" s="1"/>
  <c r="P333" i="1"/>
  <c r="R333" i="1" s="1"/>
  <c r="S333" i="1" s="1"/>
  <c r="P329" i="1"/>
  <c r="J329" i="1"/>
  <c r="P328" i="1"/>
  <c r="J328" i="1"/>
  <c r="P325" i="1"/>
  <c r="R325" i="1" s="1"/>
  <c r="S325" i="1" s="1"/>
  <c r="P324" i="1"/>
  <c r="R324" i="1" s="1"/>
  <c r="S324" i="1" s="1"/>
  <c r="P323" i="1"/>
  <c r="R323" i="1" s="1"/>
  <c r="S323" i="1" s="1"/>
  <c r="P320" i="1"/>
  <c r="R320" i="1" s="1"/>
  <c r="S320" i="1" s="1"/>
  <c r="P317" i="1"/>
  <c r="J317" i="1"/>
  <c r="P316" i="1"/>
  <c r="J316" i="1"/>
  <c r="P314" i="1"/>
  <c r="J314" i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6" i="1"/>
  <c r="J306" i="1"/>
  <c r="P305" i="1"/>
  <c r="J305" i="1"/>
  <c r="P303" i="1"/>
  <c r="R303" i="1" s="1"/>
  <c r="S303" i="1" s="1"/>
  <c r="P300" i="1"/>
  <c r="R300" i="1" s="1"/>
  <c r="S300" i="1" s="1"/>
  <c r="P297" i="1"/>
  <c r="J297" i="1"/>
  <c r="P296" i="1"/>
  <c r="R296" i="1" s="1"/>
  <c r="S296" i="1" s="1"/>
  <c r="P294" i="1"/>
  <c r="R294" i="1" s="1"/>
  <c r="S294" i="1" s="1"/>
  <c r="J292" i="1"/>
  <c r="P292" i="1"/>
  <c r="J291" i="1"/>
  <c r="J290" i="1"/>
  <c r="P290" i="1"/>
  <c r="P288" i="1"/>
  <c r="R288" i="1" s="1"/>
  <c r="S288" i="1" s="1"/>
  <c r="J287" i="1"/>
  <c r="H287" i="1"/>
  <c r="P287" i="1" s="1"/>
  <c r="P286" i="1"/>
  <c r="R286" i="1" s="1"/>
  <c r="S286" i="1" s="1"/>
  <c r="P285" i="1"/>
  <c r="R285" i="1" s="1"/>
  <c r="S285" i="1" s="1"/>
  <c r="P284" i="1"/>
  <c r="R284" i="1" s="1"/>
  <c r="S284" i="1" s="1"/>
  <c r="P283" i="1"/>
  <c r="R283" i="1" s="1"/>
  <c r="S283" i="1" s="1"/>
  <c r="P279" i="1"/>
  <c r="R279" i="1" s="1"/>
  <c r="S279" i="1" s="1"/>
  <c r="P278" i="1"/>
  <c r="R278" i="1" s="1"/>
  <c r="S278" i="1" s="1"/>
  <c r="P276" i="1"/>
  <c r="R276" i="1" s="1"/>
  <c r="S276" i="1" s="1"/>
  <c r="P273" i="1"/>
  <c r="R273" i="1" s="1"/>
  <c r="S273" i="1" s="1"/>
  <c r="P272" i="1"/>
  <c r="J272" i="1"/>
  <c r="P271" i="1"/>
  <c r="R271" i="1" s="1"/>
  <c r="S271" i="1" s="1"/>
  <c r="P270" i="1"/>
  <c r="J270" i="1"/>
  <c r="P267" i="1"/>
  <c r="R267" i="1" s="1"/>
  <c r="S267" i="1" s="1"/>
  <c r="P266" i="1"/>
  <c r="R266" i="1" s="1"/>
  <c r="S266" i="1" s="1"/>
  <c r="P264" i="1"/>
  <c r="R264" i="1" s="1"/>
  <c r="S264" i="1" s="1"/>
  <c r="P261" i="1"/>
  <c r="J261" i="1"/>
  <c r="P260" i="1"/>
  <c r="J260" i="1"/>
  <c r="J259" i="1"/>
  <c r="P259" i="1"/>
  <c r="J258" i="1"/>
  <c r="P258" i="1"/>
  <c r="P257" i="1"/>
  <c r="J257" i="1"/>
  <c r="P256" i="1"/>
  <c r="J256" i="1"/>
  <c r="P255" i="1"/>
  <c r="R255" i="1" s="1"/>
  <c r="S255" i="1" s="1"/>
  <c r="P254" i="1"/>
  <c r="R254" i="1" s="1"/>
  <c r="S254" i="1" s="1"/>
  <c r="P250" i="1"/>
  <c r="J250" i="1"/>
  <c r="P249" i="1"/>
  <c r="J249" i="1"/>
  <c r="P247" i="1"/>
  <c r="R247" i="1" s="1"/>
  <c r="S247" i="1" s="1"/>
  <c r="P246" i="1"/>
  <c r="R246" i="1" s="1"/>
  <c r="S246" i="1" s="1"/>
  <c r="P245" i="1"/>
  <c r="R245" i="1" s="1"/>
  <c r="S245" i="1" s="1"/>
  <c r="P244" i="1"/>
  <c r="R244" i="1" s="1"/>
  <c r="S244" i="1" s="1"/>
  <c r="P242" i="1"/>
  <c r="R242" i="1" s="1"/>
  <c r="S242" i="1" s="1"/>
  <c r="P240" i="1"/>
  <c r="R240" i="1" s="1"/>
  <c r="S240" i="1" s="1"/>
  <c r="P236" i="1"/>
  <c r="R236" i="1" s="1"/>
  <c r="S236" i="1" s="1"/>
  <c r="P234" i="1"/>
  <c r="R234" i="1" s="1"/>
  <c r="S234" i="1" s="1"/>
  <c r="P232" i="1"/>
  <c r="R232" i="1" s="1"/>
  <c r="S232" i="1" s="1"/>
  <c r="J228" i="1"/>
  <c r="P228" i="1"/>
  <c r="P227" i="1"/>
  <c r="J227" i="1"/>
  <c r="P223" i="1"/>
  <c r="J223" i="1"/>
  <c r="P222" i="1"/>
  <c r="J222" i="1"/>
  <c r="P221" i="1"/>
  <c r="J221" i="1"/>
  <c r="P220" i="1"/>
  <c r="J220" i="1"/>
  <c r="J219" i="1"/>
  <c r="P219" i="1"/>
  <c r="P218" i="1"/>
  <c r="J218" i="1"/>
  <c r="P217" i="1"/>
  <c r="J217" i="1"/>
  <c r="P216" i="1"/>
  <c r="J216" i="1"/>
  <c r="P212" i="1"/>
  <c r="J212" i="1"/>
  <c r="P211" i="1"/>
  <c r="J211" i="1"/>
  <c r="P208" i="1"/>
  <c r="J208" i="1"/>
  <c r="P207" i="1"/>
  <c r="J207" i="1"/>
  <c r="P206" i="1"/>
  <c r="J206" i="1"/>
  <c r="P205" i="1"/>
  <c r="J205" i="1"/>
  <c r="P204" i="1"/>
  <c r="J204" i="1"/>
  <c r="P203" i="1"/>
  <c r="J203" i="1"/>
  <c r="J201" i="1"/>
  <c r="H201" i="1"/>
  <c r="P201" i="1" s="1"/>
  <c r="J200" i="1"/>
  <c r="H200" i="1"/>
  <c r="P200" i="1" s="1"/>
  <c r="P196" i="1"/>
  <c r="J196" i="1"/>
  <c r="P194" i="1"/>
  <c r="J194" i="1"/>
  <c r="P191" i="1"/>
  <c r="J191" i="1"/>
  <c r="P190" i="1"/>
  <c r="J190" i="1"/>
  <c r="J188" i="1"/>
  <c r="P188" i="1"/>
  <c r="P185" i="1"/>
  <c r="J185" i="1"/>
  <c r="J184" i="1"/>
  <c r="P184" i="1"/>
  <c r="P183" i="1"/>
  <c r="J183" i="1"/>
  <c r="P180" i="1"/>
  <c r="J180" i="1"/>
  <c r="J179" i="1"/>
  <c r="P179" i="1"/>
  <c r="P178" i="1"/>
  <c r="J178" i="1"/>
  <c r="P177" i="1"/>
  <c r="J177" i="1"/>
  <c r="J176" i="1"/>
  <c r="P176" i="1"/>
  <c r="J175" i="1"/>
  <c r="P174" i="1"/>
  <c r="J174" i="1"/>
  <c r="P173" i="1"/>
  <c r="J173" i="1"/>
  <c r="P171" i="1"/>
  <c r="R171" i="1" s="1"/>
  <c r="S171" i="1" s="1"/>
  <c r="P170" i="1"/>
  <c r="R170" i="1" s="1"/>
  <c r="S170" i="1" s="1"/>
  <c r="P169" i="1"/>
  <c r="J169" i="1"/>
  <c r="P168" i="1"/>
  <c r="R168" i="1" s="1"/>
  <c r="S168" i="1" s="1"/>
  <c r="P167" i="1"/>
  <c r="J167" i="1"/>
  <c r="P166" i="1"/>
  <c r="J166" i="1"/>
  <c r="P165" i="1"/>
  <c r="R165" i="1" s="1"/>
  <c r="S165" i="1" s="1"/>
  <c r="P164" i="1"/>
  <c r="R164" i="1" s="1"/>
  <c r="S164" i="1" s="1"/>
  <c r="P163" i="1"/>
  <c r="R163" i="1" s="1"/>
  <c r="S163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6" i="1"/>
  <c r="R156" i="1" s="1"/>
  <c r="S156" i="1" s="1"/>
  <c r="P151" i="1"/>
  <c r="J151" i="1"/>
  <c r="J150" i="1"/>
  <c r="P150" i="1"/>
  <c r="P149" i="1"/>
  <c r="J149" i="1"/>
  <c r="P148" i="1"/>
  <c r="J148" i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0" i="1"/>
  <c r="J140" i="1"/>
  <c r="J139" i="1"/>
  <c r="P138" i="1"/>
  <c r="J138" i="1"/>
  <c r="J137" i="1"/>
  <c r="P137" i="1"/>
  <c r="J136" i="1"/>
  <c r="J135" i="1"/>
  <c r="P135" i="1"/>
  <c r="J134" i="1"/>
  <c r="P131" i="1"/>
  <c r="J131" i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2" i="1"/>
  <c r="R112" i="1" s="1"/>
  <c r="S112" i="1" s="1"/>
  <c r="P111" i="1"/>
  <c r="R111" i="1" s="1"/>
  <c r="S111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P95" i="1"/>
  <c r="R95" i="1" s="1"/>
  <c r="S95" i="1" s="1"/>
  <c r="P92" i="1"/>
  <c r="R92" i="1" s="1"/>
  <c r="S92" i="1" s="1"/>
  <c r="P84" i="1"/>
  <c r="R84" i="1" s="1"/>
  <c r="S84" i="1" s="1"/>
  <c r="P83" i="1"/>
  <c r="R83" i="1" s="1"/>
  <c r="S83" i="1" s="1"/>
  <c r="P82" i="1"/>
  <c r="R82" i="1" s="1"/>
  <c r="S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R65" i="1"/>
  <c r="S65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2" i="1"/>
  <c r="R52" i="1" s="1"/>
  <c r="S52" i="1" s="1"/>
  <c r="P51" i="1"/>
  <c r="R51" i="1" s="1"/>
  <c r="S51" i="1" s="1"/>
  <c r="P50" i="1"/>
  <c r="R50" i="1" s="1"/>
  <c r="S50" i="1" s="1"/>
  <c r="J45" i="1"/>
  <c r="R45" i="1" s="1"/>
  <c r="S45" i="1" s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1" i="1" l="1"/>
  <c r="S131" i="1" s="1"/>
  <c r="R1034" i="1"/>
  <c r="S1034" i="1" s="1"/>
  <c r="R533" i="1"/>
  <c r="S533" i="1" s="1"/>
  <c r="R1065" i="1"/>
  <c r="S1065" i="1" s="1"/>
  <c r="R1067" i="1"/>
  <c r="S1067" i="1" s="1"/>
  <c r="R1038" i="1"/>
  <c r="S1038" i="1" s="1"/>
  <c r="R1045" i="1"/>
  <c r="S1045" i="1" s="1"/>
  <c r="R1047" i="1"/>
  <c r="S1047" i="1" s="1"/>
  <c r="R1071" i="1"/>
  <c r="S1071" i="1" s="1"/>
  <c r="R1073" i="1"/>
  <c r="S1073" i="1" s="1"/>
  <c r="R1025" i="1"/>
  <c r="S1025" i="1" s="1"/>
  <c r="R961" i="1"/>
  <c r="S961" i="1" s="1"/>
  <c r="R1010" i="1"/>
  <c r="S1010" i="1" s="1"/>
  <c r="R882" i="1"/>
  <c r="S882" i="1" s="1"/>
  <c r="R905" i="1"/>
  <c r="S905" i="1" s="1"/>
  <c r="R909" i="1"/>
  <c r="S909" i="1" s="1"/>
  <c r="R554" i="1"/>
  <c r="S554" i="1" s="1"/>
  <c r="R578" i="1"/>
  <c r="S578" i="1" s="1"/>
  <c r="R673" i="1"/>
  <c r="S673" i="1" s="1"/>
  <c r="R772" i="1"/>
  <c r="S772" i="1" s="1"/>
  <c r="R811" i="1"/>
  <c r="S811" i="1" s="1"/>
  <c r="R488" i="1"/>
  <c r="S488" i="1" s="1"/>
  <c r="R497" i="1"/>
  <c r="S497" i="1" s="1"/>
  <c r="R534" i="1"/>
  <c r="S534" i="1" s="1"/>
  <c r="R541" i="1"/>
  <c r="S541" i="1" s="1"/>
  <c r="R553" i="1"/>
  <c r="S553" i="1" s="1"/>
  <c r="R579" i="1"/>
  <c r="S579" i="1" s="1"/>
  <c r="R883" i="1"/>
  <c r="S883" i="1" s="1"/>
  <c r="R906" i="1"/>
  <c r="S906" i="1" s="1"/>
  <c r="R609" i="1"/>
  <c r="S609" i="1" s="1"/>
  <c r="R816" i="1"/>
  <c r="S816" i="1" s="1"/>
  <c r="R196" i="1"/>
  <c r="S196" i="1" s="1"/>
  <c r="R292" i="1"/>
  <c r="S292" i="1" s="1"/>
  <c r="R623" i="1"/>
  <c r="S623" i="1" s="1"/>
  <c r="R395" i="1"/>
  <c r="S395" i="1" s="1"/>
  <c r="R396" i="1"/>
  <c r="S396" i="1" s="1"/>
  <c r="R398" i="1"/>
  <c r="S398" i="1" s="1"/>
  <c r="R402" i="1"/>
  <c r="S402" i="1" s="1"/>
  <c r="R624" i="1"/>
  <c r="S624" i="1" s="1"/>
  <c r="R287" i="1"/>
  <c r="S287" i="1" s="1"/>
  <c r="R328" i="1"/>
  <c r="S328" i="1" s="1"/>
  <c r="R733" i="1"/>
  <c r="S733" i="1" s="1"/>
  <c r="R137" i="1"/>
  <c r="S137" i="1" s="1"/>
  <c r="R219" i="1"/>
  <c r="S219" i="1" s="1"/>
  <c r="R222" i="1"/>
  <c r="S222" i="1" s="1"/>
  <c r="R227" i="1"/>
  <c r="S227" i="1" s="1"/>
  <c r="R343" i="1"/>
  <c r="S343" i="1" s="1"/>
  <c r="R474" i="1"/>
  <c r="S474" i="1" s="1"/>
  <c r="R476" i="1"/>
  <c r="S476" i="1" s="1"/>
  <c r="R194" i="1"/>
  <c r="S194" i="1" s="1"/>
  <c r="R397" i="1"/>
  <c r="S397" i="1" s="1"/>
  <c r="R401" i="1"/>
  <c r="S401" i="1" s="1"/>
  <c r="R407" i="1"/>
  <c r="S407" i="1" s="1"/>
  <c r="R684" i="1"/>
  <c r="S684" i="1" s="1"/>
  <c r="R690" i="1"/>
  <c r="S690" i="1" s="1"/>
  <c r="R700" i="1"/>
  <c r="S700" i="1" s="1"/>
  <c r="R730" i="1"/>
  <c r="S730" i="1" s="1"/>
  <c r="R736" i="1"/>
  <c r="S736" i="1" s="1"/>
  <c r="R771" i="1"/>
  <c r="S771" i="1" s="1"/>
  <c r="R148" i="1"/>
  <c r="S148" i="1" s="1"/>
  <c r="R140" i="1"/>
  <c r="S140" i="1" s="1"/>
  <c r="R149" i="1"/>
  <c r="S149" i="1" s="1"/>
  <c r="R191" i="1"/>
  <c r="S191" i="1" s="1"/>
  <c r="R201" i="1"/>
  <c r="S201" i="1" s="1"/>
  <c r="R228" i="1"/>
  <c r="S228" i="1" s="1"/>
  <c r="R345" i="1"/>
  <c r="S345" i="1" s="1"/>
  <c r="R473" i="1"/>
  <c r="S473" i="1" s="1"/>
  <c r="R475" i="1"/>
  <c r="S475" i="1" s="1"/>
  <c r="R478" i="1"/>
  <c r="S478" i="1" s="1"/>
  <c r="R493" i="1"/>
  <c r="S493" i="1" s="1"/>
  <c r="R498" i="1"/>
  <c r="S498" i="1" s="1"/>
  <c r="R731" i="1"/>
  <c r="S731" i="1" s="1"/>
  <c r="R954" i="1"/>
  <c r="S954" i="1" s="1"/>
  <c r="R13" i="1"/>
  <c r="S13" i="1" s="1"/>
  <c r="R178" i="1"/>
  <c r="S178" i="1" s="1"/>
  <c r="R180" i="1"/>
  <c r="S180" i="1" s="1"/>
  <c r="R203" i="1"/>
  <c r="S203" i="1" s="1"/>
  <c r="R205" i="1"/>
  <c r="S205" i="1" s="1"/>
  <c r="R532" i="1"/>
  <c r="S532" i="1" s="1"/>
  <c r="R681" i="1"/>
  <c r="S681" i="1" s="1"/>
  <c r="R699" i="1"/>
  <c r="S699" i="1" s="1"/>
  <c r="R703" i="1"/>
  <c r="S703" i="1" s="1"/>
  <c r="R738" i="1"/>
  <c r="S738" i="1" s="1"/>
  <c r="R742" i="1"/>
  <c r="S742" i="1" s="1"/>
  <c r="R815" i="1"/>
  <c r="S815" i="1" s="1"/>
  <c r="R817" i="1"/>
  <c r="S817" i="1" s="1"/>
  <c r="R819" i="1"/>
  <c r="S819" i="1" s="1"/>
  <c r="R856" i="1"/>
  <c r="S856" i="1" s="1"/>
  <c r="R869" i="1"/>
  <c r="S869" i="1" s="1"/>
  <c r="R872" i="1"/>
  <c r="S872" i="1" s="1"/>
  <c r="R915" i="1"/>
  <c r="S915" i="1" s="1"/>
  <c r="R922" i="1"/>
  <c r="S922" i="1" s="1"/>
  <c r="R1024" i="1"/>
  <c r="S1024" i="1" s="1"/>
  <c r="R1037" i="1"/>
  <c r="S1037" i="1" s="1"/>
  <c r="R1039" i="1"/>
  <c r="S1039" i="1" s="1"/>
  <c r="R1044" i="1"/>
  <c r="S1044" i="1" s="1"/>
  <c r="R1046" i="1"/>
  <c r="S1046" i="1" s="1"/>
  <c r="R1048" i="1"/>
  <c r="S1048" i="1" s="1"/>
  <c r="R610" i="1"/>
  <c r="S610" i="1" s="1"/>
  <c r="R674" i="1"/>
  <c r="S674" i="1" s="1"/>
  <c r="R680" i="1"/>
  <c r="S680" i="1" s="1"/>
  <c r="R812" i="1"/>
  <c r="S812" i="1" s="1"/>
  <c r="R958" i="1"/>
  <c r="S958" i="1" s="1"/>
  <c r="R960" i="1"/>
  <c r="S960" i="1" s="1"/>
  <c r="R1009" i="1"/>
  <c r="S1009" i="1" s="1"/>
  <c r="R177" i="1"/>
  <c r="S177" i="1" s="1"/>
  <c r="R183" i="1"/>
  <c r="S183" i="1" s="1"/>
  <c r="R200" i="1"/>
  <c r="S200" i="1" s="1"/>
  <c r="R204" i="1"/>
  <c r="S204" i="1" s="1"/>
  <c r="R206" i="1"/>
  <c r="S206" i="1" s="1"/>
  <c r="R259" i="1"/>
  <c r="S259" i="1" s="1"/>
  <c r="R270" i="1"/>
  <c r="S270" i="1" s="1"/>
  <c r="R469" i="1"/>
  <c r="S469" i="1" s="1"/>
  <c r="R631" i="1"/>
  <c r="S631" i="1" s="1"/>
  <c r="R739" i="1"/>
  <c r="S739" i="1" s="1"/>
  <c r="R818" i="1"/>
  <c r="S818" i="1" s="1"/>
  <c r="R820" i="1"/>
  <c r="S820" i="1" s="1"/>
  <c r="R870" i="1"/>
  <c r="S870" i="1" s="1"/>
  <c r="R873" i="1"/>
  <c r="S873" i="1" s="1"/>
  <c r="R914" i="1"/>
  <c r="S914" i="1" s="1"/>
  <c r="R15" i="1"/>
  <c r="S15" i="1" s="1"/>
  <c r="R42" i="1"/>
  <c r="S42" i="1" s="1"/>
  <c r="R138" i="1"/>
  <c r="S138" i="1" s="1"/>
  <c r="R150" i="1"/>
  <c r="S150" i="1" s="1"/>
  <c r="R167" i="1"/>
  <c r="S167" i="1" s="1"/>
  <c r="R173" i="1"/>
  <c r="S173" i="1" s="1"/>
  <c r="R176" i="1"/>
  <c r="S176" i="1" s="1"/>
  <c r="R184" i="1"/>
  <c r="S184" i="1" s="1"/>
  <c r="R188" i="1"/>
  <c r="S188" i="1" s="1"/>
  <c r="R190" i="1"/>
  <c r="S190" i="1" s="1"/>
  <c r="R207" i="1"/>
  <c r="S207" i="1" s="1"/>
  <c r="R212" i="1"/>
  <c r="S212" i="1" s="1"/>
  <c r="R217" i="1"/>
  <c r="S217" i="1" s="1"/>
  <c r="R257" i="1"/>
  <c r="S257" i="1" s="1"/>
  <c r="R261" i="1"/>
  <c r="S261" i="1" s="1"/>
  <c r="R290" i="1"/>
  <c r="S290" i="1" s="1"/>
  <c r="R314" i="1"/>
  <c r="S314" i="1" s="1"/>
  <c r="R317" i="1"/>
  <c r="S317" i="1" s="1"/>
  <c r="R346" i="1"/>
  <c r="S346" i="1" s="1"/>
  <c r="R349" i="1"/>
  <c r="S349" i="1" s="1"/>
  <c r="R355" i="1"/>
  <c r="S355" i="1" s="1"/>
  <c r="R372" i="1"/>
  <c r="S372" i="1" s="1"/>
  <c r="R376" i="1"/>
  <c r="S376" i="1" s="1"/>
  <c r="R480" i="1"/>
  <c r="S480" i="1" s="1"/>
  <c r="R482" i="1"/>
  <c r="S482" i="1" s="1"/>
  <c r="R487" i="1"/>
  <c r="S487" i="1" s="1"/>
  <c r="R496" i="1"/>
  <c r="S496" i="1" s="1"/>
  <c r="R517" i="1"/>
  <c r="S517" i="1" s="1"/>
  <c r="R543" i="1"/>
  <c r="S543" i="1" s="1"/>
  <c r="R614" i="1"/>
  <c r="S614" i="1" s="1"/>
  <c r="R618" i="1"/>
  <c r="S618" i="1" s="1"/>
  <c r="R621" i="1"/>
  <c r="S621" i="1" s="1"/>
  <c r="R625" i="1"/>
  <c r="S625" i="1" s="1"/>
  <c r="R629" i="1"/>
  <c r="S629" i="1" s="1"/>
  <c r="R633" i="1"/>
  <c r="S633" i="1" s="1"/>
  <c r="R635" i="1"/>
  <c r="S635" i="1" s="1"/>
  <c r="R728" i="1"/>
  <c r="S728" i="1" s="1"/>
  <c r="R743" i="1"/>
  <c r="S743" i="1" s="1"/>
  <c r="R768" i="1"/>
  <c r="S768" i="1" s="1"/>
  <c r="R814" i="1"/>
  <c r="S814" i="1" s="1"/>
  <c r="R868" i="1"/>
  <c r="S868" i="1" s="1"/>
  <c r="R874" i="1"/>
  <c r="S874" i="1" s="1"/>
  <c r="R930" i="1"/>
  <c r="S930" i="1" s="1"/>
  <c r="R944" i="1"/>
  <c r="S944" i="1" s="1"/>
  <c r="R946" i="1"/>
  <c r="S946" i="1" s="1"/>
  <c r="R948" i="1"/>
  <c r="S948" i="1" s="1"/>
  <c r="R953" i="1"/>
  <c r="S953" i="1" s="1"/>
  <c r="R959" i="1"/>
  <c r="S959" i="1" s="1"/>
  <c r="R977" i="1"/>
  <c r="S977" i="1" s="1"/>
  <c r="R979" i="1"/>
  <c r="S979" i="1" s="1"/>
  <c r="R1013" i="1"/>
  <c r="S1013" i="1" s="1"/>
  <c r="R1070" i="1"/>
  <c r="S1070" i="1" s="1"/>
  <c r="R1072" i="1"/>
  <c r="S1072" i="1" s="1"/>
  <c r="R1066" i="1"/>
  <c r="S1066" i="1" s="1"/>
  <c r="R1068" i="1"/>
  <c r="S1068" i="1" s="1"/>
  <c r="R43" i="1"/>
  <c r="S43" i="1" s="1"/>
  <c r="R135" i="1"/>
  <c r="S135" i="1" s="1"/>
  <c r="R166" i="1"/>
  <c r="S166" i="1" s="1"/>
  <c r="R174" i="1"/>
  <c r="S174" i="1" s="1"/>
  <c r="R179" i="1"/>
  <c r="S179" i="1" s="1"/>
  <c r="R208" i="1"/>
  <c r="S208" i="1" s="1"/>
  <c r="R211" i="1"/>
  <c r="S211" i="1" s="1"/>
  <c r="R216" i="1"/>
  <c r="S216" i="1" s="1"/>
  <c r="R218" i="1"/>
  <c r="S218" i="1" s="1"/>
  <c r="R256" i="1"/>
  <c r="S256" i="1" s="1"/>
  <c r="R260" i="1"/>
  <c r="S260" i="1" s="1"/>
  <c r="R316" i="1"/>
  <c r="S316" i="1" s="1"/>
  <c r="R352" i="1"/>
  <c r="S352" i="1" s="1"/>
  <c r="R373" i="1"/>
  <c r="S373" i="1" s="1"/>
  <c r="R377" i="1"/>
  <c r="S377" i="1" s="1"/>
  <c r="R454" i="1"/>
  <c r="S454" i="1" s="1"/>
  <c r="R455" i="1"/>
  <c r="S455" i="1" s="1"/>
  <c r="R494" i="1"/>
  <c r="S494" i="1" s="1"/>
  <c r="R516" i="1"/>
  <c r="S516" i="1" s="1"/>
  <c r="R518" i="1"/>
  <c r="S518" i="1" s="1"/>
  <c r="R615" i="1"/>
  <c r="S615" i="1" s="1"/>
  <c r="R622" i="1"/>
  <c r="S622" i="1" s="1"/>
  <c r="R628" i="1"/>
  <c r="S628" i="1" s="1"/>
  <c r="R630" i="1"/>
  <c r="S630" i="1" s="1"/>
  <c r="R632" i="1"/>
  <c r="S632" i="1" s="1"/>
  <c r="R679" i="1"/>
  <c r="S679" i="1" s="1"/>
  <c r="R729" i="1"/>
  <c r="S729" i="1" s="1"/>
  <c r="R735" i="1"/>
  <c r="S735" i="1" s="1"/>
  <c r="R737" i="1"/>
  <c r="S737" i="1" s="1"/>
  <c r="R813" i="1"/>
  <c r="S813" i="1" s="1"/>
  <c r="R875" i="1"/>
  <c r="S875" i="1" s="1"/>
  <c r="R942" i="1"/>
  <c r="S942" i="1" s="1"/>
  <c r="R943" i="1"/>
  <c r="S943" i="1" s="1"/>
  <c r="R947" i="1"/>
  <c r="S947" i="1" s="1"/>
  <c r="R949" i="1"/>
  <c r="S949" i="1" s="1"/>
  <c r="R956" i="1"/>
  <c r="S956" i="1" s="1"/>
  <c r="R978" i="1"/>
  <c r="S978" i="1" s="1"/>
  <c r="R1006" i="1"/>
  <c r="S1006" i="1" s="1"/>
  <c r="R833" i="1"/>
  <c r="S833" i="1" s="1"/>
  <c r="R151" i="1"/>
  <c r="S151" i="1" s="1"/>
  <c r="R489" i="1"/>
  <c r="S489" i="1" s="1"/>
  <c r="R491" i="1"/>
  <c r="S491" i="1" s="1"/>
  <c r="R626" i="1"/>
  <c r="S626" i="1" s="1"/>
  <c r="R249" i="1"/>
  <c r="S249" i="1" s="1"/>
  <c r="R901" i="1"/>
  <c r="S901" i="1" s="1"/>
  <c r="R952" i="1"/>
  <c r="S952" i="1" s="1"/>
  <c r="R344" i="1"/>
  <c r="S344" i="1" s="1"/>
  <c r="R481" i="1"/>
  <c r="S481" i="1" s="1"/>
  <c r="R29" i="1"/>
  <c r="S29" i="1" s="1"/>
  <c r="R169" i="1"/>
  <c r="S169" i="1" s="1"/>
  <c r="R185" i="1"/>
  <c r="S185" i="1" s="1"/>
  <c r="R347" i="1"/>
  <c r="S347" i="1" s="1"/>
  <c r="R490" i="1"/>
  <c r="S490" i="1" s="1"/>
  <c r="R492" i="1"/>
  <c r="S492" i="1" s="1"/>
  <c r="R220" i="1"/>
  <c r="S220" i="1" s="1"/>
  <c r="R221" i="1"/>
  <c r="S221" i="1" s="1"/>
  <c r="R223" i="1"/>
  <c r="S223" i="1" s="1"/>
  <c r="R250" i="1"/>
  <c r="S250" i="1" s="1"/>
  <c r="R272" i="1"/>
  <c r="S272" i="1" s="1"/>
  <c r="R329" i="1"/>
  <c r="S329" i="1" s="1"/>
  <c r="R461" i="1"/>
  <c r="S461" i="1" s="1"/>
  <c r="R463" i="1"/>
  <c r="S463" i="1" s="1"/>
  <c r="R726" i="1"/>
  <c r="S726" i="1" s="1"/>
  <c r="R740" i="1"/>
  <c r="S740" i="1" s="1"/>
  <c r="R867" i="1"/>
  <c r="S867" i="1" s="1"/>
  <c r="R902" i="1"/>
  <c r="S902" i="1" s="1"/>
  <c r="R951" i="1"/>
  <c r="S951" i="1" s="1"/>
  <c r="R297" i="1"/>
  <c r="S297" i="1" s="1"/>
  <c r="R462" i="1"/>
  <c r="S462" i="1" s="1"/>
  <c r="R574" i="1"/>
  <c r="S574" i="1" s="1"/>
  <c r="R634" i="1"/>
  <c r="S634" i="1" s="1"/>
  <c r="R732" i="1"/>
  <c r="S732" i="1" s="1"/>
  <c r="R741" i="1"/>
  <c r="S741" i="1" s="1"/>
  <c r="R744" i="1"/>
  <c r="S744" i="1" s="1"/>
  <c r="R769" i="1"/>
  <c r="S769" i="1" s="1"/>
  <c r="R910" i="1"/>
  <c r="S910" i="1" s="1"/>
  <c r="P175" i="1"/>
  <c r="R175" i="1" s="1"/>
  <c r="S175" i="1" s="1"/>
  <c r="R258" i="1"/>
  <c r="S258" i="1" s="1"/>
  <c r="P134" i="1"/>
  <c r="R134" i="1" s="1"/>
  <c r="S134" i="1" s="1"/>
  <c r="P291" i="1"/>
  <c r="R291" i="1" s="1"/>
  <c r="S291" i="1" s="1"/>
  <c r="R40" i="1"/>
  <c r="S40" i="1" s="1"/>
  <c r="P136" i="1"/>
  <c r="R136" i="1" s="1"/>
  <c r="S136" i="1" s="1"/>
  <c r="P139" i="1"/>
  <c r="R139" i="1" s="1"/>
  <c r="S139" i="1" s="1"/>
  <c r="R305" i="1"/>
  <c r="S305" i="1" s="1"/>
  <c r="R348" i="1"/>
  <c r="S348" i="1" s="1"/>
  <c r="P458" i="1"/>
  <c r="R458" i="1" s="1"/>
  <c r="S458" i="1" s="1"/>
  <c r="R542" i="1"/>
  <c r="S542" i="1" s="1"/>
  <c r="R306" i="1"/>
  <c r="S306" i="1" s="1"/>
  <c r="R519" i="1"/>
  <c r="S519" i="1" s="1"/>
  <c r="R613" i="1"/>
  <c r="S613" i="1" s="1"/>
  <c r="R612" i="1"/>
  <c r="S612" i="1" s="1"/>
  <c r="P718" i="1"/>
  <c r="R718" i="1" s="1"/>
  <c r="S718" i="1" s="1"/>
  <c r="R786" i="1"/>
  <c r="S786" i="1" s="1"/>
  <c r="R871" i="1"/>
  <c r="S871" i="1" s="1"/>
  <c r="R640" i="1"/>
  <c r="S640" i="1" s="1"/>
  <c r="R691" i="1"/>
  <c r="S691" i="1" s="1"/>
  <c r="R1005" i="1"/>
  <c r="S1005" i="1" s="1"/>
  <c r="R945" i="1"/>
  <c r="S945" i="1" s="1"/>
  <c r="P997" i="1"/>
  <c r="R997" i="1" s="1"/>
  <c r="S997" i="1" s="1"/>
  <c r="S1086" i="1" l="1"/>
  <c r="R1086" i="1"/>
</calcChain>
</file>

<file path=xl/sharedStrings.xml><?xml version="1.0" encoding="utf-8"?>
<sst xmlns="http://schemas.openxmlformats.org/spreadsheetml/2006/main" count="6727" uniqueCount="911">
  <si>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</si>
  <si>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</si>
  <si>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</si>
  <si>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</si>
  <si>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</si>
  <si>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</si>
  <si>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</si>
  <si>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</si>
  <si>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</si>
  <si>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</si>
  <si>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</si>
  <si>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</si>
  <si>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</si>
  <si>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</si>
  <si>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</si>
  <si>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</si>
  <si>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</si>
  <si>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</si>
  <si>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</si>
  <si>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</si>
  <si>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</si>
  <si>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</si>
  <si>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</si>
  <si>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</si>
  <si>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</si>
  <si>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</si>
  <si>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</si>
  <si>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</si>
  <si>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</si>
  <si>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</si>
  <si>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</si>
  <si>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</si>
  <si>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</si>
  <si>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</si>
  <si>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</si>
  <si>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</si>
  <si>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</si>
  <si>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</si>
  <si>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</si>
  <si>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</si>
  <si>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</si>
  <si>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</si>
  <si>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</si>
  <si>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</si>
  <si>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</si>
  <si>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</si>
  <si>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</si>
  <si>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</si>
  <si>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</si>
  <si>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</si>
  <si>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</si>
  <si>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</si>
  <si>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</si>
  <si>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</si>
  <si>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</si>
  <si>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</si>
  <si>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</si>
  <si>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</si>
  <si>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</si>
  <si>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</si>
  <si>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</si>
  <si>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</si>
  <si>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</si>
  <si>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</si>
  <si>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</si>
  <si>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</si>
  <si>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</si>
  <si>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</si>
  <si>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</si>
  <si>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</si>
  <si>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</si>
  <si>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</si>
  <si>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</si>
  <si>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</si>
  <si>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</si>
  <si>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</si>
  <si>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</si>
  <si>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</si>
  <si>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</si>
  <si>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</si>
  <si>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</si>
  <si>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</si>
  <si>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</si>
  <si>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</si>
  <si>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</si>
  <si>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</si>
  <si>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</si>
  <si>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</si>
  <si>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</si>
  <si>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</si>
  <si>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</si>
  <si>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</si>
  <si>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</si>
  <si>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</si>
  <si>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</si>
  <si>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</si>
  <si>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</si>
  <si>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</si>
  <si>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</si>
  <si>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</si>
  <si>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</si>
  <si>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</si>
  <si>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</si>
  <si>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</si>
  <si>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</si>
  <si>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</si>
  <si>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</si>
  <si>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</si>
  <si>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</si>
  <si>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</si>
  <si>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</si>
  <si>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</si>
  <si>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</si>
  <si>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</si>
  <si>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</si>
  <si>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</si>
  <si>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</si>
  <si>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</si>
  <si>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</si>
  <si>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</si>
  <si>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</si>
  <si>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</si>
  <si>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</si>
  <si>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</si>
  <si>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</si>
  <si>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</si>
  <si>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</si>
  <si>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</si>
  <si>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</si>
  <si>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</si>
  <si>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</si>
  <si>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</si>
  <si>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</si>
  <si>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</si>
  <si>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</si>
  <si>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</si>
  <si>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</si>
  <si>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</si>
  <si>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</si>
  <si>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</si>
  <si>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</si>
  <si>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</si>
  <si>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</si>
  <si>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</si>
  <si>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</si>
  <si>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</si>
  <si>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</si>
  <si>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</si>
  <si>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</si>
  <si>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</si>
  <si>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</si>
  <si>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</si>
  <si>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</si>
  <si>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</si>
  <si>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</si>
  <si>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</si>
  <si>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</si>
  <si>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</si>
  <si>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</si>
  <si>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</si>
  <si>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</si>
  <si>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</si>
  <si>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</si>
  <si>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</si>
  <si>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</si>
  <si>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</si>
  <si>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</si>
  <si>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</si>
  <si>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</si>
  <si>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</si>
  <si>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</si>
  <si>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</si>
  <si>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</si>
  <si>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</si>
  <si>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</si>
  <si>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</si>
  <si>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</si>
  <si>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</si>
  <si>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</si>
  <si>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</si>
  <si>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</si>
  <si>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</si>
  <si>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</si>
  <si>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</si>
  <si>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</si>
  <si>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</si>
  <si>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</si>
  <si>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</si>
  <si>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</si>
  <si>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</si>
  <si>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</si>
  <si>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</si>
  <si>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</si>
  <si>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</si>
  <si>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</si>
  <si>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</si>
  <si>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</si>
  <si>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</si>
  <si>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</si>
  <si>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</si>
  <si>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</si>
  <si>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</si>
  <si>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</si>
  <si>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</si>
  <si>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</si>
  <si>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</si>
  <si>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</si>
  <si>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</si>
  <si>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</si>
  <si>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</si>
  <si>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</si>
  <si>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</si>
  <si>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</si>
  <si>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</si>
  <si>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</si>
  <si>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</si>
  <si>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</si>
  <si>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</si>
  <si>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</si>
  <si>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</si>
  <si>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</si>
  <si>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</si>
  <si>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</si>
  <si>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</si>
  <si>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</si>
  <si>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</si>
  <si>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</si>
  <si>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</si>
  <si>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</si>
  <si>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</si>
  <si>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</si>
  <si>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</si>
  <si>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</si>
  <si>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</si>
  <si>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</si>
  <si>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</si>
  <si>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</si>
  <si>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</si>
  <si>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</si>
  <si>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</si>
  <si>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</si>
  <si>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</si>
  <si>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</si>
  <si>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</si>
  <si>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</si>
  <si>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</si>
  <si>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</si>
  <si>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</si>
  <si>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</si>
  <si>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</si>
  <si>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</si>
  <si>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</si>
  <si>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</si>
  <si>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</si>
  <si>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</si>
  <si>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</si>
  <si>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</si>
  <si>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</si>
  <si>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</si>
  <si>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</si>
  <si>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</si>
  <si>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</si>
  <si>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</si>
  <si>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</si>
  <si>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</si>
  <si>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</si>
  <si>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</si>
  <si>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</si>
  <si>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</si>
  <si>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</si>
  <si>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</si>
  <si>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</si>
  <si>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</si>
  <si>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</si>
  <si>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</si>
  <si>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</si>
  <si>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</si>
  <si>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</si>
  <si>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</si>
  <si>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</si>
  <si>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</si>
  <si>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</si>
  <si>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</si>
  <si>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</si>
  <si>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</si>
  <si>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</si>
  <si>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</si>
  <si>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</si>
  <si>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</si>
  <si>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</si>
  <si>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</si>
  <si>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</si>
  <si>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</si>
  <si>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</si>
  <si>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</si>
  <si>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</si>
  <si>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</si>
  <si>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</si>
  <si>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</si>
  <si>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</si>
  <si>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</si>
  <si>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</si>
  <si>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</si>
  <si>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</si>
  <si>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</si>
  <si>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</si>
  <si>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</si>
  <si>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</si>
  <si>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</si>
  <si>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</si>
  <si>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</si>
  <si>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</si>
  <si>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</si>
  <si>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</si>
  <si>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</si>
  <si>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</si>
  <si>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</si>
  <si>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</si>
  <si>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</si>
  <si>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</si>
  <si>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</si>
  <si>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</si>
  <si>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</si>
  <si>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</si>
  <si>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</si>
  <si>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</si>
  <si>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</si>
  <si>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</si>
  <si>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</si>
  <si>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</si>
  <si>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</si>
  <si>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</si>
  <si>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</si>
  <si>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</si>
  <si>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</si>
  <si>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</si>
  <si>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</si>
  <si>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</si>
  <si>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</si>
  <si>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</si>
  <si>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</si>
  <si>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</si>
  <si>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</si>
  <si>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</si>
  <si>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</si>
  <si>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</si>
  <si>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</si>
  <si>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</si>
  <si>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</si>
  <si>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</si>
  <si>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</si>
  <si>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</si>
  <si>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</si>
  <si>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</si>
  <si>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</si>
  <si>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</si>
  <si>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</si>
  <si>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</si>
  <si>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</si>
  <si>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</si>
  <si>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</si>
  <si>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</si>
  <si>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</si>
  <si>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</si>
  <si>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</si>
  <si>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</si>
  <si>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</si>
  <si>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</si>
  <si>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</si>
  <si>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</si>
  <si>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</si>
  <si>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</si>
  <si>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</si>
  <si>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</si>
  <si>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</si>
  <si>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</si>
  <si>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</si>
  <si>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</si>
  <si>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</si>
  <si>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</si>
  <si>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</si>
  <si>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</si>
  <si>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</si>
  <si>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</si>
  <si>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</si>
  <si>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</si>
  <si>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</si>
  <si>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</si>
  <si>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</si>
  <si>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</si>
  <si>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</si>
  <si>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</si>
  <si>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</si>
  <si>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</si>
  <si>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</si>
  <si>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</si>
  <si>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</si>
  <si>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</si>
  <si>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</si>
  <si>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</si>
  <si>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</si>
  <si>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</si>
  <si>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</si>
  <si>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</si>
  <si>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</si>
  <si>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</si>
  <si>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</si>
  <si>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</si>
  <si>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</si>
  <si>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</si>
  <si>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</si>
  <si>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</si>
  <si>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</si>
  <si>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</si>
  <si>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</si>
  <si>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</si>
  <si>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</si>
  <si>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</si>
  <si>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</si>
  <si>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</si>
  <si>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</si>
  <si>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</si>
  <si>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</si>
  <si>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</si>
  <si>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</si>
  <si>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</si>
  <si>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</si>
  <si>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</si>
  <si>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</si>
  <si>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</si>
  <si>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</si>
  <si>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</si>
  <si>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</si>
  <si>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</si>
  <si>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</si>
  <si>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</si>
  <si>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</si>
  <si>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</si>
  <si>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</si>
  <si>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</si>
  <si>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</si>
  <si>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</si>
  <si>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</si>
  <si>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</si>
  <si>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</si>
  <si>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</si>
  <si>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</si>
  <si>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</si>
  <si>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</si>
  <si>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</si>
  <si>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</si>
  <si>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</si>
  <si>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</si>
  <si>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</si>
  <si>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</si>
  <si>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</si>
  <si>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</si>
  <si>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</si>
  <si>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</si>
  <si>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</si>
  <si>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</si>
  <si>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</si>
  <si>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</si>
  <si>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</si>
  <si>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</si>
  <si>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</si>
  <si>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</si>
  <si>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</si>
  <si>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</si>
  <si>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</si>
  <si>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</si>
  <si>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</si>
  <si>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</si>
  <si>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</si>
  <si>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</si>
  <si>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</si>
  <si>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</si>
  <si>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</si>
  <si>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</si>
  <si>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</si>
  <si>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</si>
  <si>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</si>
  <si>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</si>
  <si>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</si>
  <si>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</si>
  <si>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</si>
  <si>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</si>
  <si>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</si>
  <si>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</si>
  <si>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</si>
  <si>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</si>
  <si>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</si>
  <si>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</si>
  <si>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</si>
  <si>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</si>
  <si>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</si>
  <si>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</si>
  <si>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</si>
  <si>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</si>
  <si>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</si>
  <si>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</si>
  <si>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</si>
  <si>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</si>
  <si>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</si>
  <si>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</si>
  <si>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</si>
  <si>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</si>
  <si>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</si>
  <si>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</si>
  <si>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</si>
  <si>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</si>
  <si>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</si>
  <si>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</si>
  <si>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</si>
  <si>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</si>
  <si>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</si>
  <si>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</si>
  <si>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</si>
  <si>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</si>
  <si>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</si>
  <si>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</si>
  <si>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</si>
  <si>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</si>
  <si>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</si>
  <si>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</si>
  <si>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</si>
  <si>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</si>
  <si>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</si>
  <si>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</si>
  <si>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</si>
  <si>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</si>
  <si>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</si>
  <si>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</si>
  <si>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</si>
  <si>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</si>
  <si>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</si>
  <si>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</si>
  <si>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</si>
  <si>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</si>
  <si>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</si>
  <si>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</si>
  <si>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</si>
  <si>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</si>
  <si>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</si>
  <si>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</si>
  <si>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</si>
  <si>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</si>
  <si>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</si>
  <si>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</si>
  <si>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</si>
  <si>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</si>
  <si>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</si>
  <si>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</si>
  <si>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</si>
  <si>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</si>
  <si>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</si>
  <si>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</si>
  <si>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</si>
  <si>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</si>
  <si>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</si>
  <si>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</si>
  <si>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</si>
  <si>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</si>
  <si>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</si>
  <si>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</si>
  <si>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</si>
  <si>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</si>
  <si>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</si>
  <si>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</si>
  <si>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</si>
  <si>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</si>
  <si>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</si>
  <si>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</si>
  <si>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</si>
  <si>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</si>
  <si>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</si>
  <si>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</si>
  <si>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</si>
  <si>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</si>
  <si>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</si>
  <si>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</si>
  <si>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</si>
  <si>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</si>
  <si>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</si>
  <si>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</si>
  <si>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</si>
  <si>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</si>
  <si>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</si>
  <si>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</si>
  <si>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</si>
  <si>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</si>
  <si>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</si>
  <si>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</si>
  <si>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</si>
  <si>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</si>
  <si>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</si>
  <si>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</si>
  <si>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</si>
  <si>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</si>
  <si>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</si>
  <si>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</si>
  <si>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</si>
  <si>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</si>
  <si>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</si>
  <si>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</si>
  <si>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</si>
  <si>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</si>
  <si>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</si>
  <si>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</si>
  <si>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</si>
  <si>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</si>
  <si>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</si>
  <si>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</si>
  <si>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</si>
  <si>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</si>
  <si>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</si>
  <si>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</si>
  <si>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</si>
  <si>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</si>
  <si>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</si>
  <si>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</si>
  <si>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</si>
  <si>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</si>
  <si>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</si>
  <si>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</si>
  <si>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</si>
  <si>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</si>
  <si>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</si>
  <si>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</si>
  <si>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</si>
  <si>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</si>
  <si>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</si>
  <si>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</si>
  <si>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</si>
  <si>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</si>
  <si>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</si>
  <si>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</si>
  <si>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</si>
  <si>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</si>
  <si>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</si>
  <si>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</si>
  <si>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</si>
  <si>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</si>
  <si>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</si>
  <si>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</si>
  <si>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</si>
  <si>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</si>
  <si>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</si>
  <si>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</si>
  <si>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</si>
  <si>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</si>
  <si>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</si>
  <si>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</si>
  <si>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</si>
  <si>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</si>
  <si>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</si>
  <si>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</si>
  <si>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</si>
  <si>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</si>
  <si>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</si>
  <si>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</si>
  <si>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</si>
  <si>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</si>
  <si>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</si>
  <si>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</si>
  <si>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</si>
  <si>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</si>
  <si>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</si>
  <si>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</si>
  <si>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</si>
  <si>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</si>
  <si>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</si>
  <si>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</si>
  <si>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</si>
  <si>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</si>
  <si>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</si>
  <si>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</si>
  <si>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</si>
  <si>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</si>
  <si>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</si>
  <si>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</si>
  <si>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</si>
  <si>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</si>
  <si>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</si>
  <si>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</si>
  <si>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</si>
  <si>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</si>
  <si>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</si>
  <si>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</si>
  <si>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</si>
  <si>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</si>
  <si>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</si>
  <si>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</si>
  <si>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</si>
  <si>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</si>
  <si>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</si>
  <si>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</si>
  <si>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</si>
  <si>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</si>
  <si>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</si>
  <si>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</si>
  <si>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</si>
  <si>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</si>
  <si>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</si>
  <si>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</si>
  <si>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</si>
  <si>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</si>
  <si>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</si>
  <si>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</si>
  <si>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</si>
  <si>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</si>
  <si>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</si>
  <si>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</si>
  <si>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</si>
  <si>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</si>
  <si>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</si>
  <si>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</si>
  <si>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</si>
  <si>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</si>
  <si>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</si>
  <si>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</si>
  <si>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</si>
  <si>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</si>
  <si>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</si>
  <si>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</si>
  <si>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</si>
  <si>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</si>
  <si>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</si>
  <si>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</si>
  <si>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</si>
  <si>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</si>
  <si>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</si>
  <si>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</si>
  <si>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</si>
  <si>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</si>
  <si>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</si>
  <si>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</si>
  <si>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</si>
  <si>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</si>
  <si>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</si>
  <si>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</si>
  <si>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</si>
  <si>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</si>
  <si>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</si>
  <si>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</si>
  <si>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</si>
  <si>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</si>
  <si>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</si>
  <si>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</si>
  <si>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</si>
  <si>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</si>
  <si>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</si>
  <si>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</si>
  <si>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</si>
  <si>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</si>
  <si>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</si>
  <si>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</si>
  <si>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</si>
  <si>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</si>
  <si>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</si>
  <si>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</si>
  <si>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</si>
  <si>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</si>
  <si>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</si>
  <si>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</si>
  <si>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</si>
  <si>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</si>
  <si>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</si>
  <si>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</si>
  <si>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</si>
  <si>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</si>
  <si>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</si>
  <si>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</si>
  <si>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</si>
  <si>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</si>
  <si>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</si>
  <si>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</si>
  <si>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</si>
  <si>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</si>
  <si>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</si>
  <si>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</si>
  <si>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</si>
  <si>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</si>
  <si>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</si>
  <si>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</si>
  <si>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</si>
  <si>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</si>
  <si>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</si>
  <si>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</si>
  <si>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</si>
  <si>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</si>
  <si>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</si>
  <si>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</si>
  <si>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</si>
  <si>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</si>
  <si>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</si>
  <si>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</si>
  <si>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</si>
  <si>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</si>
  <si>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</si>
  <si>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</si>
  <si>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</si>
  <si>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</si>
  <si>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</si>
  <si>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</si>
  <si>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</si>
  <si>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</si>
  <si>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</si>
  <si>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</si>
  <si>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</si>
  <si>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</si>
  <si>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</si>
  <si>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</si>
  <si>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</si>
  <si>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</si>
  <si>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</si>
  <si>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</si>
  <si>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</si>
  <si>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</si>
  <si>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</si>
  <si>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</si>
  <si>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</si>
  <si>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</si>
  <si>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</si>
  <si>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</si>
  <si>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</si>
  <si>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</si>
  <si>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</si>
  <si>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</si>
  <si>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</si>
  <si>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</si>
  <si>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</si>
  <si>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</si>
  <si>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</si>
  <si>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</si>
  <si>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</si>
  <si>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</si>
  <si>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</si>
  <si>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</si>
  <si>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</si>
  <si>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</si>
  <si>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</si>
  <si>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</si>
  <si>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</si>
  <si>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</si>
  <si>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</si>
  <si>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</si>
  <si>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</si>
  <si>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</si>
  <si>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</si>
  <si>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</si>
  <si>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</si>
  <si>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</si>
  <si>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</si>
  <si>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</si>
  <si>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</si>
  <si>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</si>
  <si>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</si>
  <si>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</si>
  <si>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</si>
  <si>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</si>
  <si>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</si>
  <si>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</si>
  <si>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</si>
  <si>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</si>
  <si>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</si>
  <si>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</si>
  <si>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</si>
  <si>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</si>
  <si>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</si>
  <si>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</si>
  <si>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</si>
  <si>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</si>
  <si>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</si>
  <si>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</si>
  <si>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</si>
  <si>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</si>
  <si>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</si>
  <si>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</si>
  <si>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</si>
  <si>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</si>
  <si>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</si>
  <si>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</si>
  <si>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</si>
  <si>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</si>
  <si>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</si>
  <si>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</si>
  <si>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</si>
  <si>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</si>
  <si>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</si>
  <si>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</si>
  <si>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</si>
  <si>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</si>
  <si>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</si>
  <si>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</si>
  <si>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</si>
  <si>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</si>
  <si>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</si>
  <si>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</si>
  <si>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</si>
  <si>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</si>
  <si>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BUKU TAMU KENKO BT-3224-01 (KEMBANG)</t>
  </si>
  <si>
    <t>BUKU TAMU KENKO BT-3224-BTK-02 (BATIK)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</si>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</sst>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94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0" fontId="19" fillId="3" borderId="0" xfId="0" applyFont="1" applyFill="1"/>
    <xf numFmtId="3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19" fillId="3" borderId="0" xfId="0" applyNumberFormat="1" applyFont="1" applyFill="1" applyAlignment="1"/>
    <xf numFmtId="0" fontId="19" fillId="3" borderId="0" xfId="0" applyFont="1" applyFill="1" applyAlignment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0" fontId="19" fillId="4" borderId="0" xfId="0" applyFont="1" applyFill="1" applyBorder="1"/>
    <xf numFmtId="0" fontId="19" fillId="4" borderId="0" xfId="0" applyFont="1" applyFill="1"/>
    <xf numFmtId="3" fontId="19" fillId="4" borderId="0" xfId="0" applyNumberFormat="1" applyFont="1" applyFill="1"/>
    <xf numFmtId="0" fontId="19" fillId="4" borderId="0" xfId="0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3" fontId="19" fillId="4" borderId="0" xfId="0" applyNumberFormat="1" applyFont="1" applyFill="1" applyAlignment="1"/>
    <xf numFmtId="0" fontId="19" fillId="4" borderId="0" xfId="0" applyFont="1" applyFill="1" applyAlignment="1"/>
    <xf numFmtId="4" fontId="19" fillId="4" borderId="0" xfId="0" applyNumberFormat="1" applyFont="1" applyFill="1"/>
    <xf numFmtId="10" fontId="19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0" fontId="3" fillId="3" borderId="0" xfId="2" applyFont="1" applyFill="1" applyBorder="1"/>
    <xf numFmtId="1" fontId="3" fillId="3" borderId="0" xfId="0" applyNumberFormat="1" applyFont="1" applyFill="1" applyAlignment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3" fillId="5" borderId="0" xfId="0" applyFont="1" applyFill="1" applyBorder="1"/>
    <xf numFmtId="0" fontId="3" fillId="5" borderId="0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0" fontId="19" fillId="6" borderId="0" xfId="0" applyFont="1" applyFill="1" applyBorder="1"/>
    <xf numFmtId="0" fontId="19" fillId="6" borderId="0" xfId="0" applyFont="1" applyFill="1"/>
    <xf numFmtId="3" fontId="19" fillId="6" borderId="0" xfId="0" applyNumberFormat="1" applyFont="1" applyFill="1"/>
    <xf numFmtId="0" fontId="19" fillId="6" borderId="0" xfId="0" applyFont="1" applyFill="1" applyAlignment="1">
      <alignment horizontal="center"/>
    </xf>
    <xf numFmtId="3" fontId="20" fillId="6" borderId="0" xfId="0" applyNumberFormat="1" applyFont="1" applyFill="1" applyAlignment="1">
      <alignment horizontal="center"/>
    </xf>
    <xf numFmtId="3" fontId="19" fillId="6" borderId="0" xfId="0" applyNumberFormat="1" applyFont="1" applyFill="1" applyAlignment="1"/>
    <xf numFmtId="0" fontId="19" fillId="6" borderId="0" xfId="0" applyFont="1" applyFill="1" applyAlignment="1"/>
    <xf numFmtId="4" fontId="19" fillId="6" borderId="0" xfId="0" applyNumberFormat="1" applyFont="1" applyFill="1"/>
    <xf numFmtId="10" fontId="19" fillId="6" borderId="0" xfId="0" applyNumberFormat="1" applyFont="1" applyFill="1" applyAlignment="1">
      <alignment horizontal="center"/>
    </xf>
    <xf numFmtId="0" fontId="19" fillId="5" borderId="0" xfId="0" applyFont="1" applyFill="1" applyBorder="1"/>
    <xf numFmtId="0" fontId="3" fillId="5" borderId="0" xfId="0" applyFont="1" applyFill="1" applyBorder="1" applyAlignment="1">
      <alignment horizontal="left"/>
    </xf>
    <xf numFmtId="0" fontId="19" fillId="5" borderId="0" xfId="2" applyFont="1" applyFill="1" applyBorder="1"/>
    <xf numFmtId="0" fontId="3" fillId="5" borderId="0" xfId="2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2"/>
  <sheetViews>
    <sheetView tabSelected="1" zoomScaleNormal="100" workbookViewId="0">
      <pane xSplit="1" ySplit="3" topLeftCell="B138" activePane="bottomRight" state="frozen"/>
      <selection pane="topRight" activeCell="B1" sqref="B1"/>
      <selection pane="bottomLeft" activeCell="A4" sqref="A4"/>
      <selection pane="bottomRight" activeCell="E178" sqref="E178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806</v>
      </c>
    </row>
    <row r="2" spans="1:19" s="10" customFormat="1">
      <c r="A2" s="192" t="s">
        <v>0</v>
      </c>
      <c r="B2" s="191" t="s">
        <v>1</v>
      </c>
      <c r="C2" s="186" t="s">
        <v>2</v>
      </c>
      <c r="D2" s="186"/>
      <c r="E2" s="193" t="s">
        <v>649</v>
      </c>
      <c r="F2" s="188" t="s">
        <v>3</v>
      </c>
      <c r="G2" s="188"/>
      <c r="H2" s="188"/>
      <c r="I2" s="188"/>
      <c r="J2" s="189" t="s">
        <v>4</v>
      </c>
      <c r="K2" s="190"/>
      <c r="L2" s="190"/>
      <c r="M2" s="191"/>
      <c r="N2" s="182" t="s">
        <v>5</v>
      </c>
      <c r="O2" s="183"/>
      <c r="P2" s="186" t="s">
        <v>6</v>
      </c>
      <c r="Q2" s="186"/>
      <c r="R2" s="187" t="s">
        <v>7</v>
      </c>
      <c r="S2" s="187" t="s">
        <v>8</v>
      </c>
    </row>
    <row r="3" spans="1:19" s="10" customFormat="1">
      <c r="A3" s="192"/>
      <c r="B3" s="191"/>
      <c r="C3" s="186"/>
      <c r="D3" s="186"/>
      <c r="E3" s="193"/>
      <c r="F3" s="188" t="s">
        <v>9</v>
      </c>
      <c r="G3" s="188"/>
      <c r="H3" s="188" t="s">
        <v>10</v>
      </c>
      <c r="I3" s="188"/>
      <c r="J3" s="11" t="s">
        <v>11</v>
      </c>
      <c r="K3" s="12" t="s">
        <v>12</v>
      </c>
      <c r="L3" s="13" t="s">
        <v>13</v>
      </c>
      <c r="M3" s="13" t="s">
        <v>14</v>
      </c>
      <c r="N3" s="184"/>
      <c r="O3" s="185"/>
      <c r="P3" s="186"/>
      <c r="Q3" s="186"/>
      <c r="R3" s="187"/>
      <c r="S3" s="187"/>
    </row>
    <row r="4" spans="1:19" ht="15.75">
      <c r="A4" s="14" t="s">
        <v>15</v>
      </c>
    </row>
    <row r="5" spans="1:19">
      <c r="A5" s="15" t="s">
        <v>16</v>
      </c>
    </row>
    <row r="6" spans="1:19" s="80" customFormat="1">
      <c r="A6" s="79" t="s">
        <v>17</v>
      </c>
      <c r="B6" s="80" t="s">
        <v>18</v>
      </c>
      <c r="C6" s="81"/>
      <c r="D6" s="82" t="s">
        <v>19</v>
      </c>
      <c r="E6" s="83"/>
      <c r="F6" s="84">
        <v>1</v>
      </c>
      <c r="G6" s="85" t="s">
        <v>20</v>
      </c>
      <c r="H6" s="84">
        <v>60</v>
      </c>
      <c r="I6" s="85" t="s">
        <v>19</v>
      </c>
      <c r="J6" s="16">
        <v>45500</v>
      </c>
      <c r="K6" s="82" t="s">
        <v>19</v>
      </c>
      <c r="L6" s="86">
        <v>0.125</v>
      </c>
      <c r="M6" s="86">
        <v>0.05</v>
      </c>
      <c r="N6" s="84"/>
      <c r="O6" s="85" t="s">
        <v>19</v>
      </c>
      <c r="P6" s="81">
        <f>(C6+(E6*F6*H6))-N6</f>
        <v>0</v>
      </c>
      <c r="Q6" s="85" t="s">
        <v>19</v>
      </c>
      <c r="R6" s="16">
        <f>P6*(J6-(J6*L6)-((J6-(J6*L6))*M6))</f>
        <v>0</v>
      </c>
      <c r="S6" s="16">
        <f>R6/1.11</f>
        <v>0</v>
      </c>
    </row>
    <row r="7" spans="1:19" s="80" customFormat="1">
      <c r="A7" s="79" t="s">
        <v>733</v>
      </c>
      <c r="B7" s="80" t="s">
        <v>18</v>
      </c>
      <c r="C7" s="81"/>
      <c r="D7" s="82" t="s">
        <v>19</v>
      </c>
      <c r="E7" s="83"/>
      <c r="F7" s="84">
        <v>1</v>
      </c>
      <c r="G7" s="85" t="s">
        <v>20</v>
      </c>
      <c r="H7" s="84">
        <v>48</v>
      </c>
      <c r="I7" s="85" t="s">
        <v>19</v>
      </c>
      <c r="J7" s="16">
        <v>26000</v>
      </c>
      <c r="K7" s="82" t="s">
        <v>19</v>
      </c>
      <c r="L7" s="86">
        <v>0.125</v>
      </c>
      <c r="M7" s="86">
        <v>0.05</v>
      </c>
      <c r="N7" s="84"/>
      <c r="O7" s="85" t="s">
        <v>19</v>
      </c>
      <c r="P7" s="81">
        <f>(C7+(E7*F7*H7))-N7</f>
        <v>0</v>
      </c>
      <c r="Q7" s="85" t="s">
        <v>19</v>
      </c>
      <c r="R7" s="16">
        <f>P7*(J7-(J7*L7)-((J7-(J7*L7))*M7))</f>
        <v>0</v>
      </c>
      <c r="S7" s="16">
        <f t="shared" ref="S7:S122" si="0">R7/1.11</f>
        <v>0</v>
      </c>
    </row>
    <row r="8" spans="1:19" s="80" customFormat="1">
      <c r="A8" s="79" t="s">
        <v>21</v>
      </c>
      <c r="B8" s="80" t="s">
        <v>18</v>
      </c>
      <c r="C8" s="81"/>
      <c r="D8" s="82" t="s">
        <v>19</v>
      </c>
      <c r="E8" s="83"/>
      <c r="F8" s="84">
        <v>1</v>
      </c>
      <c r="G8" s="85" t="s">
        <v>20</v>
      </c>
      <c r="H8" s="84">
        <v>48</v>
      </c>
      <c r="I8" s="85" t="s">
        <v>19</v>
      </c>
      <c r="J8" s="16">
        <v>28000</v>
      </c>
      <c r="K8" s="82" t="s">
        <v>19</v>
      </c>
      <c r="L8" s="86">
        <v>0.125</v>
      </c>
      <c r="M8" s="86">
        <v>0.05</v>
      </c>
      <c r="N8" s="84"/>
      <c r="O8" s="85" t="s">
        <v>19</v>
      </c>
      <c r="P8" s="81">
        <f>(C8+(E8*F8*H8))-N8</f>
        <v>0</v>
      </c>
      <c r="Q8" s="85" t="s">
        <v>19</v>
      </c>
      <c r="R8" s="16">
        <f>P8*(J8-(J8*L8)-((J8-(J8*L8))*M8))</f>
        <v>0</v>
      </c>
      <c r="S8" s="16">
        <f t="shared" si="0"/>
        <v>0</v>
      </c>
    </row>
    <row r="9" spans="1:19" s="80" customFormat="1">
      <c r="A9" s="79" t="s">
        <v>22</v>
      </c>
      <c r="B9" s="80" t="s">
        <v>18</v>
      </c>
      <c r="C9" s="81"/>
      <c r="D9" s="82" t="s">
        <v>19</v>
      </c>
      <c r="E9" s="83"/>
      <c r="F9" s="84">
        <v>1</v>
      </c>
      <c r="G9" s="85" t="s">
        <v>20</v>
      </c>
      <c r="H9" s="84">
        <v>48</v>
      </c>
      <c r="I9" s="85" t="s">
        <v>19</v>
      </c>
      <c r="J9" s="16">
        <v>31700</v>
      </c>
      <c r="K9" s="82" t="s">
        <v>19</v>
      </c>
      <c r="L9" s="86">
        <v>0.125</v>
      </c>
      <c r="M9" s="86">
        <v>0.05</v>
      </c>
      <c r="N9" s="84"/>
      <c r="O9" s="85" t="s">
        <v>19</v>
      </c>
      <c r="P9" s="81">
        <f>(C9+(E9*F9*H9))-N9</f>
        <v>0</v>
      </c>
      <c r="Q9" s="85" t="s">
        <v>19</v>
      </c>
      <c r="R9" s="16">
        <f>P9*(J9-(J9*L9)-((J9-(J9*L9))*M9))</f>
        <v>0</v>
      </c>
      <c r="S9" s="16">
        <f t="shared" si="0"/>
        <v>0</v>
      </c>
    </row>
    <row r="10" spans="1:19" s="80" customFormat="1">
      <c r="A10" s="79" t="s">
        <v>23</v>
      </c>
      <c r="B10" s="80" t="s">
        <v>18</v>
      </c>
      <c r="C10" s="81"/>
      <c r="D10" s="82" t="s">
        <v>19</v>
      </c>
      <c r="E10" s="83"/>
      <c r="F10" s="84">
        <v>1</v>
      </c>
      <c r="G10" s="85" t="s">
        <v>20</v>
      </c>
      <c r="H10" s="84">
        <v>48</v>
      </c>
      <c r="I10" s="85" t="s">
        <v>19</v>
      </c>
      <c r="J10" s="16">
        <v>25000</v>
      </c>
      <c r="K10" s="82" t="s">
        <v>19</v>
      </c>
      <c r="L10" s="86">
        <v>0.125</v>
      </c>
      <c r="M10" s="86">
        <v>0.05</v>
      </c>
      <c r="N10" s="84"/>
      <c r="O10" s="85" t="s">
        <v>19</v>
      </c>
      <c r="P10" s="81">
        <f>(C10+(E10*F10*H10))-N10</f>
        <v>0</v>
      </c>
      <c r="Q10" s="85" t="s">
        <v>19</v>
      </c>
      <c r="R10" s="16">
        <f>P10*(J10-(J10*L10)-((J10-(J10*L10))*M10))</f>
        <v>0</v>
      </c>
      <c r="S10" s="16">
        <f t="shared" si="0"/>
        <v>0</v>
      </c>
    </row>
    <row r="12" spans="1:19" s="80" customFormat="1">
      <c r="A12" s="79" t="s">
        <v>24</v>
      </c>
      <c r="B12" s="80" t="s">
        <v>25</v>
      </c>
      <c r="C12" s="81"/>
      <c r="D12" s="82" t="s">
        <v>19</v>
      </c>
      <c r="E12" s="83"/>
      <c r="F12" s="84">
        <v>1</v>
      </c>
      <c r="G12" s="85" t="s">
        <v>20</v>
      </c>
      <c r="H12" s="84">
        <v>60</v>
      </c>
      <c r="I12" s="85" t="s">
        <v>19</v>
      </c>
      <c r="J12" s="16">
        <v>23800</v>
      </c>
      <c r="K12" s="82" t="s">
        <v>19</v>
      </c>
      <c r="L12" s="86"/>
      <c r="M12" s="86">
        <v>0.17</v>
      </c>
      <c r="N12" s="84"/>
      <c r="O12" s="85" t="s">
        <v>19</v>
      </c>
      <c r="P12" s="81">
        <f t="shared" ref="P12:P18" si="1">(C12+(E12*F12*H12))-N12</f>
        <v>0</v>
      </c>
      <c r="Q12" s="85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80" customFormat="1">
      <c r="A14" s="79" t="s">
        <v>27</v>
      </c>
      <c r="B14" s="80" t="s">
        <v>25</v>
      </c>
      <c r="C14" s="87"/>
      <c r="D14" s="82" t="s">
        <v>19</v>
      </c>
      <c r="E14" s="83"/>
      <c r="F14" s="84">
        <v>1</v>
      </c>
      <c r="G14" s="85" t="s">
        <v>20</v>
      </c>
      <c r="H14" s="84">
        <v>60</v>
      </c>
      <c r="I14" s="85" t="s">
        <v>19</v>
      </c>
      <c r="J14" s="16">
        <v>27500</v>
      </c>
      <c r="K14" s="82" t="s">
        <v>19</v>
      </c>
      <c r="L14" s="86"/>
      <c r="M14" s="86">
        <v>0.17</v>
      </c>
      <c r="N14" s="84"/>
      <c r="O14" s="85" t="s">
        <v>19</v>
      </c>
      <c r="P14" s="81">
        <f t="shared" si="1"/>
        <v>0</v>
      </c>
      <c r="Q14" s="85" t="s">
        <v>19</v>
      </c>
      <c r="R14" s="16">
        <f t="shared" si="2"/>
        <v>0</v>
      </c>
      <c r="S14" s="16">
        <f t="shared" si="0"/>
        <v>0</v>
      </c>
    </row>
    <row r="15" spans="1:19" s="80" customFormat="1">
      <c r="A15" s="79" t="s">
        <v>707</v>
      </c>
      <c r="B15" s="80" t="s">
        <v>25</v>
      </c>
      <c r="C15" s="87"/>
      <c r="D15" s="82" t="s">
        <v>19</v>
      </c>
      <c r="E15" s="83"/>
      <c r="F15" s="84">
        <v>1</v>
      </c>
      <c r="G15" s="85" t="s">
        <v>20</v>
      </c>
      <c r="H15" s="84">
        <v>36</v>
      </c>
      <c r="I15" s="85" t="s">
        <v>19</v>
      </c>
      <c r="J15" s="16">
        <f>2520000/36</f>
        <v>70000</v>
      </c>
      <c r="K15" s="82" t="s">
        <v>19</v>
      </c>
      <c r="L15" s="86"/>
      <c r="M15" s="86">
        <v>0.17</v>
      </c>
      <c r="N15" s="84"/>
      <c r="O15" s="85" t="s">
        <v>19</v>
      </c>
      <c r="P15" s="81">
        <f t="shared" si="1"/>
        <v>0</v>
      </c>
      <c r="Q15" s="85" t="s">
        <v>19</v>
      </c>
      <c r="R15" s="16">
        <f t="shared" si="2"/>
        <v>0</v>
      </c>
      <c r="S15" s="16">
        <f t="shared" si="0"/>
        <v>0</v>
      </c>
    </row>
    <row r="16" spans="1:19" s="80" customFormat="1">
      <c r="A16" s="79" t="s">
        <v>28</v>
      </c>
      <c r="B16" s="80" t="s">
        <v>25</v>
      </c>
      <c r="C16" s="87"/>
      <c r="D16" s="82" t="s">
        <v>19</v>
      </c>
      <c r="E16" s="83"/>
      <c r="F16" s="84">
        <v>1</v>
      </c>
      <c r="G16" s="85" t="s">
        <v>20</v>
      </c>
      <c r="H16" s="84">
        <v>36</v>
      </c>
      <c r="I16" s="85" t="s">
        <v>19</v>
      </c>
      <c r="J16" s="16">
        <v>50500</v>
      </c>
      <c r="K16" s="82" t="s">
        <v>19</v>
      </c>
      <c r="L16" s="86"/>
      <c r="M16" s="86">
        <v>0.17</v>
      </c>
      <c r="N16" s="84"/>
      <c r="O16" s="85" t="s">
        <v>19</v>
      </c>
      <c r="P16" s="81">
        <f t="shared" si="1"/>
        <v>0</v>
      </c>
      <c r="Q16" s="85" t="s">
        <v>19</v>
      </c>
      <c r="R16" s="16">
        <f t="shared" si="2"/>
        <v>0</v>
      </c>
      <c r="S16" s="16">
        <f t="shared" si="0"/>
        <v>0</v>
      </c>
    </row>
    <row r="17" spans="1:19" s="89" customFormat="1">
      <c r="A17" s="88" t="s">
        <v>29</v>
      </c>
      <c r="B17" s="89" t="s">
        <v>25</v>
      </c>
      <c r="C17" s="87"/>
      <c r="D17" s="90" t="s">
        <v>19</v>
      </c>
      <c r="E17" s="91"/>
      <c r="F17" s="92">
        <v>1</v>
      </c>
      <c r="G17" s="93" t="s">
        <v>20</v>
      </c>
      <c r="H17" s="92">
        <v>72</v>
      </c>
      <c r="I17" s="93" t="s">
        <v>19</v>
      </c>
      <c r="J17" s="94">
        <v>37000</v>
      </c>
      <c r="K17" s="90" t="s">
        <v>19</v>
      </c>
      <c r="L17" s="95"/>
      <c r="M17" s="95">
        <v>0.17</v>
      </c>
      <c r="N17" s="92"/>
      <c r="O17" s="93" t="s">
        <v>19</v>
      </c>
      <c r="P17" s="87">
        <f t="shared" si="1"/>
        <v>0</v>
      </c>
      <c r="Q17" s="93" t="s">
        <v>19</v>
      </c>
      <c r="R17" s="94">
        <f t="shared" si="2"/>
        <v>0</v>
      </c>
      <c r="S17" s="94">
        <f t="shared" si="0"/>
        <v>0</v>
      </c>
    </row>
    <row r="18" spans="1:19" s="80" customFormat="1">
      <c r="A18" s="79" t="s">
        <v>30</v>
      </c>
      <c r="B18" s="80" t="s">
        <v>25</v>
      </c>
      <c r="C18" s="87"/>
      <c r="D18" s="82" t="s">
        <v>19</v>
      </c>
      <c r="E18" s="83"/>
      <c r="F18" s="84">
        <v>1</v>
      </c>
      <c r="G18" s="85" t="s">
        <v>20</v>
      </c>
      <c r="H18" s="84">
        <v>72</v>
      </c>
      <c r="I18" s="85" t="s">
        <v>19</v>
      </c>
      <c r="J18" s="16">
        <v>30000</v>
      </c>
      <c r="K18" s="82" t="s">
        <v>19</v>
      </c>
      <c r="L18" s="86"/>
      <c r="M18" s="86">
        <v>0.17</v>
      </c>
      <c r="N18" s="84"/>
      <c r="O18" s="85" t="s">
        <v>19</v>
      </c>
      <c r="P18" s="81">
        <f t="shared" si="1"/>
        <v>0</v>
      </c>
      <c r="Q18" s="85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831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80" customFormat="1">
      <c r="A23" s="79" t="s">
        <v>845</v>
      </c>
      <c r="B23" s="80" t="s">
        <v>18</v>
      </c>
      <c r="C23" s="81"/>
      <c r="D23" s="82" t="s">
        <v>33</v>
      </c>
      <c r="E23" s="83"/>
      <c r="F23" s="84">
        <v>1</v>
      </c>
      <c r="G23" s="85" t="s">
        <v>20</v>
      </c>
      <c r="H23" s="84">
        <v>60</v>
      </c>
      <c r="I23" s="85" t="s">
        <v>33</v>
      </c>
      <c r="J23" s="16">
        <v>31200</v>
      </c>
      <c r="K23" s="82" t="s">
        <v>33</v>
      </c>
      <c r="L23" s="86">
        <v>0.125</v>
      </c>
      <c r="M23" s="86">
        <v>0.05</v>
      </c>
      <c r="N23" s="84"/>
      <c r="O23" s="85" t="s">
        <v>33</v>
      </c>
      <c r="P23" s="81">
        <f t="shared" si="3"/>
        <v>0</v>
      </c>
      <c r="Q23" s="85" t="s">
        <v>33</v>
      </c>
      <c r="R23" s="16">
        <f t="shared" si="4"/>
        <v>0</v>
      </c>
      <c r="S23" s="16">
        <f t="shared" si="0"/>
        <v>0</v>
      </c>
    </row>
    <row r="24" spans="1:19" s="80" customFormat="1">
      <c r="A24" s="79" t="s">
        <v>695</v>
      </c>
      <c r="B24" s="80" t="s">
        <v>18</v>
      </c>
      <c r="C24" s="81"/>
      <c r="D24" s="82" t="s">
        <v>33</v>
      </c>
      <c r="E24" s="83"/>
      <c r="F24" s="84">
        <v>1</v>
      </c>
      <c r="G24" s="85" t="s">
        <v>20</v>
      </c>
      <c r="H24" s="84">
        <v>50</v>
      </c>
      <c r="I24" s="85" t="s">
        <v>33</v>
      </c>
      <c r="J24" s="16">
        <v>66000</v>
      </c>
      <c r="K24" s="82" t="s">
        <v>33</v>
      </c>
      <c r="L24" s="86">
        <v>0.125</v>
      </c>
      <c r="M24" s="86">
        <v>0.05</v>
      </c>
      <c r="N24" s="84"/>
      <c r="O24" s="85" t="s">
        <v>33</v>
      </c>
      <c r="P24" s="81">
        <f t="shared" si="3"/>
        <v>0</v>
      </c>
      <c r="Q24" s="85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841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80" customFormat="1">
      <c r="A26" s="79" t="s">
        <v>34</v>
      </c>
      <c r="B26" s="80" t="s">
        <v>18</v>
      </c>
      <c r="C26" s="81"/>
      <c r="D26" s="82" t="s">
        <v>33</v>
      </c>
      <c r="E26" s="83"/>
      <c r="F26" s="84">
        <v>1</v>
      </c>
      <c r="G26" s="85" t="s">
        <v>20</v>
      </c>
      <c r="H26" s="84">
        <v>180</v>
      </c>
      <c r="I26" s="85" t="s">
        <v>33</v>
      </c>
      <c r="J26" s="16">
        <v>10200</v>
      </c>
      <c r="K26" s="82" t="s">
        <v>33</v>
      </c>
      <c r="L26" s="86">
        <v>0.125</v>
      </c>
      <c r="M26" s="86">
        <v>0.05</v>
      </c>
      <c r="N26" s="84"/>
      <c r="O26" s="85" t="s">
        <v>33</v>
      </c>
      <c r="P26" s="81">
        <f t="shared" si="3"/>
        <v>0</v>
      </c>
      <c r="Q26" s="85" t="s">
        <v>33</v>
      </c>
      <c r="R26" s="16">
        <f t="shared" si="4"/>
        <v>0</v>
      </c>
      <c r="S26" s="16">
        <f t="shared" si="0"/>
        <v>0</v>
      </c>
    </row>
    <row r="27" spans="1:19" s="80" customFormat="1">
      <c r="A27" s="79" t="s">
        <v>35</v>
      </c>
      <c r="B27" s="80" t="s">
        <v>18</v>
      </c>
      <c r="C27" s="81"/>
      <c r="D27" s="82" t="s">
        <v>33</v>
      </c>
      <c r="E27" s="83"/>
      <c r="F27" s="84">
        <v>1</v>
      </c>
      <c r="G27" s="85" t="s">
        <v>20</v>
      </c>
      <c r="H27" s="84">
        <v>32</v>
      </c>
      <c r="I27" s="85" t="s">
        <v>33</v>
      </c>
      <c r="J27" s="16">
        <v>64800</v>
      </c>
      <c r="K27" s="82" t="s">
        <v>33</v>
      </c>
      <c r="L27" s="86">
        <v>0.125</v>
      </c>
      <c r="M27" s="86">
        <v>0.05</v>
      </c>
      <c r="N27" s="84"/>
      <c r="O27" s="85" t="s">
        <v>33</v>
      </c>
      <c r="P27" s="81">
        <f t="shared" si="3"/>
        <v>0</v>
      </c>
      <c r="Q27" s="85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763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99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80" customFormat="1">
      <c r="A30" s="79" t="s">
        <v>752</v>
      </c>
      <c r="B30" s="80" t="s">
        <v>25</v>
      </c>
      <c r="C30" s="81"/>
      <c r="D30" s="82" t="s">
        <v>40</v>
      </c>
      <c r="E30" s="83"/>
      <c r="F30" s="84">
        <v>1</v>
      </c>
      <c r="G30" s="85" t="s">
        <v>20</v>
      </c>
      <c r="H30" s="84">
        <v>60</v>
      </c>
      <c r="I30" s="85" t="s">
        <v>40</v>
      </c>
      <c r="J30" s="16">
        <f>1080000/60</f>
        <v>18000</v>
      </c>
      <c r="K30" s="82" t="s">
        <v>40</v>
      </c>
      <c r="L30" s="86"/>
      <c r="M30" s="86">
        <v>0.17</v>
      </c>
      <c r="N30" s="84"/>
      <c r="O30" s="85" t="s">
        <v>33</v>
      </c>
      <c r="P30" s="81">
        <f>(C30+(E30*F30*H30))-N30</f>
        <v>0</v>
      </c>
      <c r="Q30" s="85" t="s">
        <v>40</v>
      </c>
      <c r="R30" s="16">
        <f>P30*(J30-(J30*L30)-((J30-(J30*L30))*M30))</f>
        <v>0</v>
      </c>
      <c r="S30" s="16">
        <f t="shared" si="8"/>
        <v>0</v>
      </c>
    </row>
    <row r="31" spans="1:19" s="80" customFormat="1">
      <c r="A31" s="79" t="s">
        <v>846</v>
      </c>
      <c r="B31" s="80" t="s">
        <v>25</v>
      </c>
      <c r="C31" s="81"/>
      <c r="D31" s="82" t="s">
        <v>40</v>
      </c>
      <c r="E31" s="83"/>
      <c r="F31" s="84">
        <v>1</v>
      </c>
      <c r="G31" s="85" t="s">
        <v>20</v>
      </c>
      <c r="H31" s="84">
        <v>120</v>
      </c>
      <c r="I31" s="85" t="s">
        <v>40</v>
      </c>
      <c r="J31" s="16">
        <f>1908000/120</f>
        <v>15900</v>
      </c>
      <c r="K31" s="82" t="s">
        <v>40</v>
      </c>
      <c r="L31" s="86"/>
      <c r="M31" s="86">
        <v>0.17</v>
      </c>
      <c r="N31" s="84"/>
      <c r="O31" s="85" t="s">
        <v>33</v>
      </c>
      <c r="P31" s="81">
        <f>(C31+(E31*F31*H31))-N31</f>
        <v>0</v>
      </c>
      <c r="Q31" s="85" t="s">
        <v>40</v>
      </c>
      <c r="R31" s="16">
        <f>P31*(J31-(J31*L31)-((J31-(J31*L31))*M31))</f>
        <v>0</v>
      </c>
      <c r="S31" s="16">
        <f t="shared" si="8"/>
        <v>0</v>
      </c>
    </row>
    <row r="32" spans="1:19" s="80" customFormat="1">
      <c r="A32" s="79" t="s">
        <v>847</v>
      </c>
      <c r="B32" s="80" t="s">
        <v>25</v>
      </c>
      <c r="C32" s="81"/>
      <c r="D32" s="82" t="s">
        <v>40</v>
      </c>
      <c r="E32" s="83"/>
      <c r="F32" s="84">
        <v>1</v>
      </c>
      <c r="G32" s="85" t="s">
        <v>20</v>
      </c>
      <c r="H32" s="84">
        <v>60</v>
      </c>
      <c r="I32" s="85" t="s">
        <v>40</v>
      </c>
      <c r="J32" s="16">
        <f>1728000/60</f>
        <v>28800</v>
      </c>
      <c r="K32" s="82" t="s">
        <v>40</v>
      </c>
      <c r="L32" s="86"/>
      <c r="M32" s="86">
        <v>0.17</v>
      </c>
      <c r="N32" s="84"/>
      <c r="O32" s="85" t="s">
        <v>33</v>
      </c>
      <c r="P32" s="81">
        <f>(C32+(E32*F32*H32))-N32</f>
        <v>0</v>
      </c>
      <c r="Q32" s="85" t="s">
        <v>40</v>
      </c>
      <c r="R32" s="16">
        <f>P32*(J32-(J32*L32)-((J32-(J32*L32))*M32))</f>
        <v>0</v>
      </c>
      <c r="S32" s="16">
        <f t="shared" si="8"/>
        <v>0</v>
      </c>
    </row>
    <row r="33" spans="1:19" s="80" customFormat="1">
      <c r="A33" s="79" t="s">
        <v>680</v>
      </c>
      <c r="B33" s="80" t="s">
        <v>25</v>
      </c>
      <c r="C33" s="81"/>
      <c r="D33" s="82" t="s">
        <v>33</v>
      </c>
      <c r="E33" s="83"/>
      <c r="F33" s="84">
        <v>1</v>
      </c>
      <c r="G33" s="85" t="s">
        <v>20</v>
      </c>
      <c r="H33" s="84">
        <v>32</v>
      </c>
      <c r="I33" s="85" t="s">
        <v>33</v>
      </c>
      <c r="J33" s="16">
        <f>1113600/32</f>
        <v>34800</v>
      </c>
      <c r="K33" s="82" t="s">
        <v>33</v>
      </c>
      <c r="L33" s="86"/>
      <c r="M33" s="86">
        <v>0.17</v>
      </c>
      <c r="N33" s="84"/>
      <c r="O33" s="85" t="s">
        <v>33</v>
      </c>
      <c r="P33" s="81">
        <f>(C33+(E33*F33*H33))-N33</f>
        <v>0</v>
      </c>
      <c r="Q33" s="85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812</v>
      </c>
      <c r="B37" s="19" t="s">
        <v>18</v>
      </c>
      <c r="C37" s="20"/>
      <c r="D37" s="21" t="s">
        <v>19</v>
      </c>
      <c r="E37" s="26">
        <v>1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60</v>
      </c>
      <c r="Q37" s="23" t="s">
        <v>19</v>
      </c>
      <c r="R37" s="24">
        <f>P37*(J37-(J37*L37)-((J37-(J37*L37))*M37))</f>
        <v>1037400</v>
      </c>
      <c r="S37" s="24">
        <f t="shared" ref="S37" si="9">R37/1.11</f>
        <v>934594.59459459456</v>
      </c>
    </row>
    <row r="38" spans="1:19" s="80" customFormat="1">
      <c r="A38" s="79" t="s">
        <v>38</v>
      </c>
      <c r="B38" s="80" t="s">
        <v>18</v>
      </c>
      <c r="C38" s="81"/>
      <c r="D38" s="82" t="s">
        <v>19</v>
      </c>
      <c r="E38" s="83"/>
      <c r="F38" s="84">
        <v>1</v>
      </c>
      <c r="G38" s="85" t="s">
        <v>20</v>
      </c>
      <c r="H38" s="84">
        <v>60</v>
      </c>
      <c r="I38" s="85" t="s">
        <v>19</v>
      </c>
      <c r="J38" s="16">
        <v>18500</v>
      </c>
      <c r="K38" s="82" t="s">
        <v>19</v>
      </c>
      <c r="L38" s="86">
        <v>0.125</v>
      </c>
      <c r="M38" s="86">
        <v>0.05</v>
      </c>
      <c r="N38" s="84"/>
      <c r="O38" s="85" t="s">
        <v>19</v>
      </c>
      <c r="P38" s="81">
        <f>(C38+(E38*F38*H38))-N38</f>
        <v>0</v>
      </c>
      <c r="Q38" s="85" t="s">
        <v>19</v>
      </c>
      <c r="R38" s="16">
        <f>P38*(J38-(J38*L38)-((J38-(J38*L38))*M38))</f>
        <v>0</v>
      </c>
      <c r="S38" s="16">
        <f t="shared" si="0"/>
        <v>0</v>
      </c>
    </row>
    <row r="40" spans="1:19" s="89" customFormat="1">
      <c r="A40" s="88" t="s">
        <v>39</v>
      </c>
      <c r="B40" s="89" t="s">
        <v>25</v>
      </c>
      <c r="C40" s="87"/>
      <c r="D40" s="90" t="s">
        <v>40</v>
      </c>
      <c r="E40" s="91">
        <v>1</v>
      </c>
      <c r="F40" s="92">
        <v>1</v>
      </c>
      <c r="G40" s="93" t="s">
        <v>20</v>
      </c>
      <c r="H40" s="92">
        <v>5</v>
      </c>
      <c r="I40" s="93" t="s">
        <v>40</v>
      </c>
      <c r="J40" s="94">
        <f>780000/5</f>
        <v>156000</v>
      </c>
      <c r="K40" s="90" t="s">
        <v>40</v>
      </c>
      <c r="L40" s="95"/>
      <c r="M40" s="95">
        <v>0.17</v>
      </c>
      <c r="N40" s="92"/>
      <c r="O40" s="97" t="s">
        <v>40</v>
      </c>
      <c r="P40" s="87">
        <f t="shared" ref="P40:P43" si="10">(C40+(E40*F40*H40))-N40</f>
        <v>5</v>
      </c>
      <c r="Q40" s="93" t="s">
        <v>40</v>
      </c>
      <c r="R40" s="94">
        <f t="shared" ref="R40:R43" si="11">P40*(J40-(J40*L40)-((J40-(J40*L40))*M40))</f>
        <v>647400</v>
      </c>
      <c r="S40" s="94">
        <f t="shared" si="0"/>
        <v>583243.2432432432</v>
      </c>
    </row>
    <row r="41" spans="1:19" s="89" customFormat="1">
      <c r="A41" s="18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7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7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89" customFormat="1">
      <c r="A43" s="88" t="s">
        <v>42</v>
      </c>
      <c r="B43" s="89" t="s">
        <v>25</v>
      </c>
      <c r="C43" s="87"/>
      <c r="D43" s="90" t="s">
        <v>40</v>
      </c>
      <c r="E43" s="91"/>
      <c r="F43" s="92">
        <v>1</v>
      </c>
      <c r="G43" s="93" t="s">
        <v>20</v>
      </c>
      <c r="H43" s="92">
        <v>5</v>
      </c>
      <c r="I43" s="93" t="s">
        <v>40</v>
      </c>
      <c r="J43" s="94">
        <f>990000/5</f>
        <v>198000</v>
      </c>
      <c r="K43" s="90" t="s">
        <v>40</v>
      </c>
      <c r="L43" s="95"/>
      <c r="M43" s="95">
        <v>0.17</v>
      </c>
      <c r="N43" s="92"/>
      <c r="O43" s="97" t="s">
        <v>40</v>
      </c>
      <c r="P43" s="87">
        <f t="shared" si="10"/>
        <v>0</v>
      </c>
      <c r="Q43" s="93" t="s">
        <v>40</v>
      </c>
      <c r="R43" s="94">
        <f t="shared" si="11"/>
        <v>0</v>
      </c>
      <c r="S43" s="94">
        <f t="shared" si="0"/>
        <v>0</v>
      </c>
    </row>
    <row r="44" spans="1:19" s="106" customFormat="1">
      <c r="A44" s="178" t="s">
        <v>901</v>
      </c>
      <c r="B44" s="106" t="s">
        <v>25</v>
      </c>
      <c r="C44" s="107"/>
      <c r="D44" s="108" t="s">
        <v>40</v>
      </c>
      <c r="E44" s="109">
        <v>1</v>
      </c>
      <c r="F44" s="110">
        <v>1</v>
      </c>
      <c r="G44" s="111" t="s">
        <v>20</v>
      </c>
      <c r="H44" s="110">
        <v>5</v>
      </c>
      <c r="I44" s="111" t="s">
        <v>40</v>
      </c>
      <c r="J44" s="112">
        <v>198000</v>
      </c>
      <c r="K44" s="108" t="s">
        <v>40</v>
      </c>
      <c r="L44" s="113"/>
      <c r="M44" s="113">
        <v>0.17</v>
      </c>
      <c r="N44" s="110"/>
      <c r="O44" s="114" t="s">
        <v>40</v>
      </c>
      <c r="P44" s="107">
        <f t="shared" ref="P44:P46" si="15">(C44+(E44*F44*H44))-N44</f>
        <v>5</v>
      </c>
      <c r="Q44" s="111" t="s">
        <v>40</v>
      </c>
      <c r="R44" s="112">
        <f t="shared" ref="R44:R46" si="16">P44*(J44-(J44*L44)-((J44-(J44*L44))*M44))</f>
        <v>821700</v>
      </c>
      <c r="S44" s="112">
        <f t="shared" ref="S44:S46" si="17">R44/1.11</f>
        <v>740270.27027027018</v>
      </c>
    </row>
    <row r="45" spans="1:19" s="89" customFormat="1">
      <c r="A45" s="88" t="s">
        <v>43</v>
      </c>
      <c r="B45" s="89" t="s">
        <v>25</v>
      </c>
      <c r="C45" s="87"/>
      <c r="D45" s="90" t="s">
        <v>40</v>
      </c>
      <c r="E45" s="91"/>
      <c r="F45" s="92">
        <v>1</v>
      </c>
      <c r="G45" s="93" t="s">
        <v>20</v>
      </c>
      <c r="H45" s="92">
        <v>5</v>
      </c>
      <c r="I45" s="93" t="s">
        <v>40</v>
      </c>
      <c r="J45" s="94">
        <f>975000/5</f>
        <v>195000</v>
      </c>
      <c r="K45" s="90" t="s">
        <v>40</v>
      </c>
      <c r="L45" s="95"/>
      <c r="M45" s="95">
        <v>0.17</v>
      </c>
      <c r="N45" s="92"/>
      <c r="O45" s="97" t="s">
        <v>40</v>
      </c>
      <c r="P45" s="87">
        <f t="shared" si="15"/>
        <v>0</v>
      </c>
      <c r="Q45" s="93" t="s">
        <v>40</v>
      </c>
      <c r="R45" s="94">
        <f t="shared" si="16"/>
        <v>0</v>
      </c>
      <c r="S45" s="94">
        <f t="shared" si="17"/>
        <v>0</v>
      </c>
    </row>
    <row r="46" spans="1:19" s="106" customFormat="1">
      <c r="A46" s="178" t="s">
        <v>902</v>
      </c>
      <c r="B46" s="106" t="s">
        <v>25</v>
      </c>
      <c r="C46" s="107"/>
      <c r="D46" s="108" t="s">
        <v>40</v>
      </c>
      <c r="E46" s="109">
        <v>1</v>
      </c>
      <c r="F46" s="110">
        <v>1</v>
      </c>
      <c r="G46" s="111" t="s">
        <v>20</v>
      </c>
      <c r="H46" s="110">
        <v>5</v>
      </c>
      <c r="I46" s="111" t="s">
        <v>40</v>
      </c>
      <c r="J46" s="112">
        <v>195000</v>
      </c>
      <c r="K46" s="108" t="s">
        <v>40</v>
      </c>
      <c r="L46" s="113"/>
      <c r="M46" s="113">
        <v>0.17</v>
      </c>
      <c r="N46" s="110"/>
      <c r="O46" s="114" t="s">
        <v>40</v>
      </c>
      <c r="P46" s="107">
        <f t="shared" si="15"/>
        <v>5</v>
      </c>
      <c r="Q46" s="111" t="s">
        <v>40</v>
      </c>
      <c r="R46" s="112">
        <f t="shared" si="16"/>
        <v>809250</v>
      </c>
      <c r="S46" s="112">
        <f t="shared" si="17"/>
        <v>729054.05405405397</v>
      </c>
    </row>
    <row r="47" spans="1:19" s="19" customFormat="1">
      <c r="A47" s="18"/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47"/>
      <c r="P47" s="20"/>
      <c r="Q47" s="23"/>
      <c r="R47" s="24"/>
      <c r="S47" s="24"/>
    </row>
    <row r="48" spans="1:19" s="19" customFormat="1">
      <c r="A48" s="71" t="s">
        <v>698</v>
      </c>
      <c r="C48" s="20"/>
      <c r="D48" s="21"/>
      <c r="E48" s="26"/>
      <c r="F48" s="22"/>
      <c r="G48" s="23"/>
      <c r="H48" s="22"/>
      <c r="I48" s="23"/>
      <c r="J48" s="24"/>
      <c r="K48" s="21"/>
      <c r="L48" s="25"/>
      <c r="M48" s="25"/>
      <c r="N48" s="22"/>
      <c r="O48" s="23"/>
      <c r="P48" s="20"/>
      <c r="Q48" s="23"/>
      <c r="R48" s="24"/>
      <c r="S48" s="24"/>
    </row>
    <row r="49" spans="1:19" s="96" customFormat="1">
      <c r="A49" s="98" t="s">
        <v>848</v>
      </c>
      <c r="B49" s="96" t="s">
        <v>701</v>
      </c>
      <c r="C49" s="99">
        <v>520</v>
      </c>
      <c r="D49" s="100" t="s">
        <v>19</v>
      </c>
      <c r="E49" s="101">
        <v>10</v>
      </c>
      <c r="F49" s="102">
        <v>1</v>
      </c>
      <c r="G49" s="103" t="s">
        <v>20</v>
      </c>
      <c r="H49" s="102">
        <v>100</v>
      </c>
      <c r="I49" s="103" t="s">
        <v>19</v>
      </c>
      <c r="J49" s="104">
        <v>6610</v>
      </c>
      <c r="K49" s="100" t="s">
        <v>19</v>
      </c>
      <c r="L49" s="105"/>
      <c r="M49" s="105"/>
      <c r="N49" s="102"/>
      <c r="O49" s="103" t="s">
        <v>19</v>
      </c>
      <c r="P49" s="99">
        <f>(C49+(E49*F49*H49))-N49</f>
        <v>1520</v>
      </c>
      <c r="Q49" s="103" t="s">
        <v>19</v>
      </c>
      <c r="R49" s="104">
        <f>P49*(J49-(J49*L49)-((J49-(J49*L49))*M49))</f>
        <v>10047200</v>
      </c>
      <c r="S49" s="104">
        <f t="shared" ref="S49" si="18">R49/1.11</f>
        <v>9051531.5315315314</v>
      </c>
    </row>
    <row r="50" spans="1:19" s="19" customFormat="1">
      <c r="A50" s="18" t="s">
        <v>758</v>
      </c>
      <c r="B50" s="19" t="s">
        <v>701</v>
      </c>
      <c r="C50" s="20">
        <v>75</v>
      </c>
      <c r="D50" s="21" t="s">
        <v>19</v>
      </c>
      <c r="E50" s="26">
        <v>11</v>
      </c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625</v>
      </c>
      <c r="Q50" s="23" t="s">
        <v>19</v>
      </c>
      <c r="R50" s="24">
        <f>P50*(J50-(J50*L50)-((J50-(J50*L50))*M50))</f>
        <v>8043750</v>
      </c>
      <c r="S50" s="24">
        <f t="shared" ref="S50:S52" si="19">R50/1.11</f>
        <v>7246621.6216216208</v>
      </c>
    </row>
    <row r="51" spans="1:19" s="89" customFormat="1">
      <c r="A51" s="88" t="s">
        <v>699</v>
      </c>
      <c r="B51" s="89" t="s">
        <v>701</v>
      </c>
      <c r="C51" s="87"/>
      <c r="D51" s="90" t="s">
        <v>19</v>
      </c>
      <c r="E51" s="91"/>
      <c r="F51" s="92">
        <v>1</v>
      </c>
      <c r="G51" s="93" t="s">
        <v>20</v>
      </c>
      <c r="H51" s="92">
        <v>50</v>
      </c>
      <c r="I51" s="93" t="s">
        <v>19</v>
      </c>
      <c r="J51" s="94">
        <v>12870</v>
      </c>
      <c r="K51" s="90" t="s">
        <v>19</v>
      </c>
      <c r="L51" s="95"/>
      <c r="M51" s="95"/>
      <c r="N51" s="92"/>
      <c r="O51" s="93" t="s">
        <v>19</v>
      </c>
      <c r="P51" s="87">
        <f>(C51+(E51*F51*H51))-N51</f>
        <v>0</v>
      </c>
      <c r="Q51" s="93" t="s">
        <v>19</v>
      </c>
      <c r="R51" s="94">
        <f>P51*(J51-(J51*L51)-((J51-(J51*L51))*M51))</f>
        <v>0</v>
      </c>
      <c r="S51" s="94">
        <f t="shared" si="19"/>
        <v>0</v>
      </c>
    </row>
    <row r="52" spans="1:19" s="19" customFormat="1">
      <c r="A52" s="18" t="s">
        <v>700</v>
      </c>
      <c r="B52" s="19" t="s">
        <v>701</v>
      </c>
      <c r="C52" s="20">
        <v>5</v>
      </c>
      <c r="D52" s="21" t="s">
        <v>19</v>
      </c>
      <c r="E52" s="26"/>
      <c r="F52" s="22">
        <v>1</v>
      </c>
      <c r="G52" s="23" t="s">
        <v>20</v>
      </c>
      <c r="H52" s="22">
        <v>50</v>
      </c>
      <c r="I52" s="23" t="s">
        <v>19</v>
      </c>
      <c r="J52" s="24">
        <v>12870</v>
      </c>
      <c r="K52" s="21" t="s">
        <v>19</v>
      </c>
      <c r="L52" s="25"/>
      <c r="M52" s="25"/>
      <c r="N52" s="22"/>
      <c r="O52" s="23" t="s">
        <v>19</v>
      </c>
      <c r="P52" s="20">
        <f>(C52+(E52*F52*H52))-N52</f>
        <v>5</v>
      </c>
      <c r="Q52" s="23" t="s">
        <v>19</v>
      </c>
      <c r="R52" s="24">
        <f>P52*(J52-(J52*L52)-((J52-(J52*L52))*M52))</f>
        <v>64350</v>
      </c>
      <c r="S52" s="24">
        <f t="shared" si="19"/>
        <v>57972.972972972966</v>
      </c>
    </row>
    <row r="53" spans="1:19" s="106" customFormat="1">
      <c r="A53" s="98"/>
      <c r="C53" s="107"/>
      <c r="D53" s="108"/>
      <c r="E53" s="109"/>
      <c r="F53" s="110"/>
      <c r="G53" s="111"/>
      <c r="H53" s="110"/>
      <c r="I53" s="111"/>
      <c r="J53" s="112"/>
      <c r="K53" s="108"/>
      <c r="L53" s="113"/>
      <c r="M53" s="113"/>
      <c r="N53" s="110"/>
      <c r="O53" s="114"/>
      <c r="P53" s="107"/>
      <c r="Q53" s="111"/>
      <c r="R53" s="112"/>
      <c r="S53" s="112"/>
    </row>
    <row r="54" spans="1:19">
      <c r="A54" s="15" t="s">
        <v>849</v>
      </c>
      <c r="S54" s="16"/>
    </row>
    <row r="55" spans="1:19" s="96" customFormat="1">
      <c r="A55" s="98" t="s">
        <v>850</v>
      </c>
      <c r="B55" s="96" t="s">
        <v>701</v>
      </c>
      <c r="C55" s="99">
        <v>80</v>
      </c>
      <c r="D55" s="100" t="s">
        <v>99</v>
      </c>
      <c r="E55" s="101">
        <v>6</v>
      </c>
      <c r="F55" s="102">
        <v>1</v>
      </c>
      <c r="G55" s="103" t="s">
        <v>20</v>
      </c>
      <c r="H55" s="102">
        <v>20</v>
      </c>
      <c r="I55" s="103" t="s">
        <v>99</v>
      </c>
      <c r="J55" s="104">
        <v>14900</v>
      </c>
      <c r="K55" s="100" t="s">
        <v>99</v>
      </c>
      <c r="L55" s="105"/>
      <c r="M55" s="105"/>
      <c r="N55" s="102"/>
      <c r="O55" s="103" t="s">
        <v>99</v>
      </c>
      <c r="P55" s="99">
        <f>(C55+(E55*F55*H55))-N55</f>
        <v>200</v>
      </c>
      <c r="Q55" s="103" t="s">
        <v>99</v>
      </c>
      <c r="R55" s="104">
        <f>P55*(J55-(J55*L55)-((J55-(J55*L55))*M55))</f>
        <v>2980000</v>
      </c>
      <c r="S55" s="104">
        <f t="shared" ref="S55:S56" si="20">R55/1.11</f>
        <v>2684684.6846846845</v>
      </c>
    </row>
    <row r="56" spans="1:19" s="96" customFormat="1">
      <c r="A56" s="98" t="s">
        <v>851</v>
      </c>
      <c r="B56" s="96" t="s">
        <v>701</v>
      </c>
      <c r="C56" s="99">
        <v>20</v>
      </c>
      <c r="D56" s="100" t="s">
        <v>99</v>
      </c>
      <c r="E56" s="101"/>
      <c r="F56" s="102">
        <v>1</v>
      </c>
      <c r="G56" s="103" t="s">
        <v>20</v>
      </c>
      <c r="H56" s="102">
        <v>10</v>
      </c>
      <c r="I56" s="103" t="s">
        <v>99</v>
      </c>
      <c r="J56" s="104">
        <v>29900</v>
      </c>
      <c r="K56" s="100" t="s">
        <v>99</v>
      </c>
      <c r="L56" s="105"/>
      <c r="M56" s="105"/>
      <c r="N56" s="102"/>
      <c r="O56" s="103" t="s">
        <v>99</v>
      </c>
      <c r="P56" s="99">
        <f>(C56+(E56*F56*H56))-N56</f>
        <v>20</v>
      </c>
      <c r="Q56" s="103" t="s">
        <v>99</v>
      </c>
      <c r="R56" s="104">
        <f>P56*(J56-(J56*L56)-((J56-(J56*L56))*M56))</f>
        <v>598000</v>
      </c>
      <c r="S56" s="104">
        <f t="shared" si="20"/>
        <v>538738.7387387387</v>
      </c>
    </row>
    <row r="57" spans="1:19" s="19" customFormat="1">
      <c r="A57" s="18"/>
      <c r="C57" s="20"/>
      <c r="D57" s="21"/>
      <c r="E57" s="26"/>
      <c r="F57" s="22"/>
      <c r="G57" s="23"/>
      <c r="H57" s="22"/>
      <c r="I57" s="23"/>
      <c r="J57" s="24"/>
      <c r="K57" s="21"/>
      <c r="L57" s="25"/>
      <c r="M57" s="25"/>
      <c r="N57" s="22"/>
      <c r="O57" s="23"/>
      <c r="P57" s="20"/>
      <c r="Q57" s="23"/>
      <c r="R57" s="24"/>
      <c r="S57" s="24"/>
    </row>
    <row r="58" spans="1:19" s="19" customFormat="1" ht="15.75">
      <c r="A58" s="44" t="s">
        <v>44</v>
      </c>
      <c r="C58" s="20"/>
      <c r="D58" s="21"/>
      <c r="E58" s="26"/>
      <c r="F58" s="22"/>
      <c r="G58" s="23"/>
      <c r="H58" s="22"/>
      <c r="I58" s="23"/>
      <c r="J58" s="24"/>
      <c r="K58" s="21"/>
      <c r="L58" s="25"/>
      <c r="M58" s="25"/>
      <c r="N58" s="22"/>
      <c r="O58" s="23"/>
      <c r="P58" s="20"/>
      <c r="Q58" s="23"/>
      <c r="R58" s="24"/>
      <c r="S58" s="24"/>
    </row>
    <row r="59" spans="1:19" s="89" customFormat="1">
      <c r="A59" s="88" t="s">
        <v>45</v>
      </c>
      <c r="B59" s="89" t="s">
        <v>46</v>
      </c>
      <c r="C59" s="87"/>
      <c r="D59" s="90" t="s">
        <v>19</v>
      </c>
      <c r="E59" s="91"/>
      <c r="F59" s="92">
        <v>2</v>
      </c>
      <c r="G59" s="93" t="s">
        <v>33</v>
      </c>
      <c r="H59" s="92">
        <v>20</v>
      </c>
      <c r="I59" s="93" t="s">
        <v>19</v>
      </c>
      <c r="J59" s="94">
        <v>64000</v>
      </c>
      <c r="K59" s="90" t="s">
        <v>19</v>
      </c>
      <c r="L59" s="95">
        <v>0.125</v>
      </c>
      <c r="M59" s="95">
        <v>0.05</v>
      </c>
      <c r="N59" s="92"/>
      <c r="O59" s="93" t="s">
        <v>19</v>
      </c>
      <c r="P59" s="87">
        <f t="shared" ref="P59:P106" si="21">(C59+(E59*F59*H59))-N59</f>
        <v>0</v>
      </c>
      <c r="Q59" s="93" t="s">
        <v>19</v>
      </c>
      <c r="R59" s="94">
        <f t="shared" ref="R59:R106" si="22">P59*(J59-(J59*L59)-((J59-(J59*L59))*M59))</f>
        <v>0</v>
      </c>
      <c r="S59" s="94">
        <f t="shared" si="0"/>
        <v>0</v>
      </c>
    </row>
    <row r="60" spans="1:19" s="19" customFormat="1">
      <c r="A60" s="18" t="s">
        <v>47</v>
      </c>
      <c r="B60" s="19" t="s">
        <v>46</v>
      </c>
      <c r="C60" s="20">
        <v>35</v>
      </c>
      <c r="D60" s="21" t="s">
        <v>19</v>
      </c>
      <c r="E60" s="26">
        <v>2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21"/>
        <v>275</v>
      </c>
      <c r="Q60" s="23" t="s">
        <v>19</v>
      </c>
      <c r="R60" s="24">
        <f t="shared" si="22"/>
        <v>10743906.25</v>
      </c>
      <c r="S60" s="24">
        <f t="shared" si="0"/>
        <v>9679194.8198198192</v>
      </c>
    </row>
    <row r="61" spans="1:19" s="19" customFormat="1">
      <c r="A61" s="18" t="s">
        <v>48</v>
      </c>
      <c r="B61" s="19" t="s">
        <v>46</v>
      </c>
      <c r="C61" s="20"/>
      <c r="D61" s="21" t="s">
        <v>19</v>
      </c>
      <c r="E61" s="26">
        <v>4</v>
      </c>
      <c r="F61" s="22">
        <v>6</v>
      </c>
      <c r="G61" s="23" t="s">
        <v>33</v>
      </c>
      <c r="H61" s="22">
        <v>20</v>
      </c>
      <c r="I61" s="23" t="s">
        <v>19</v>
      </c>
      <c r="J61" s="24">
        <v>47000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21"/>
        <v>480</v>
      </c>
      <c r="Q61" s="23" t="s">
        <v>19</v>
      </c>
      <c r="R61" s="24">
        <f t="shared" si="22"/>
        <v>18753000</v>
      </c>
      <c r="S61" s="24">
        <f t="shared" si="0"/>
        <v>16894594.594594594</v>
      </c>
    </row>
    <row r="62" spans="1:19" s="106" customFormat="1">
      <c r="A62" s="98" t="s">
        <v>49</v>
      </c>
      <c r="B62" s="106" t="s">
        <v>46</v>
      </c>
      <c r="C62" s="107"/>
      <c r="D62" s="108" t="s">
        <v>19</v>
      </c>
      <c r="E62" s="109">
        <v>1</v>
      </c>
      <c r="F62" s="110">
        <v>6</v>
      </c>
      <c r="G62" s="111" t="s">
        <v>33</v>
      </c>
      <c r="H62" s="110">
        <v>20</v>
      </c>
      <c r="I62" s="111" t="s">
        <v>19</v>
      </c>
      <c r="J62" s="112">
        <v>49000</v>
      </c>
      <c r="K62" s="108" t="s">
        <v>19</v>
      </c>
      <c r="L62" s="113">
        <v>0.125</v>
      </c>
      <c r="M62" s="113">
        <v>0.05</v>
      </c>
      <c r="N62" s="110"/>
      <c r="O62" s="111" t="s">
        <v>19</v>
      </c>
      <c r="P62" s="107">
        <f t="shared" si="21"/>
        <v>120</v>
      </c>
      <c r="Q62" s="111" t="s">
        <v>19</v>
      </c>
      <c r="R62" s="112">
        <f t="shared" si="22"/>
        <v>4887750</v>
      </c>
      <c r="S62" s="112">
        <f t="shared" si="0"/>
        <v>4403378.3783783782</v>
      </c>
    </row>
    <row r="63" spans="1:19" s="106" customFormat="1">
      <c r="A63" s="178" t="s">
        <v>50</v>
      </c>
      <c r="B63" s="106" t="s">
        <v>46</v>
      </c>
      <c r="C63" s="107"/>
      <c r="D63" s="108" t="s">
        <v>19</v>
      </c>
      <c r="E63" s="109">
        <v>5</v>
      </c>
      <c r="F63" s="110">
        <v>4</v>
      </c>
      <c r="G63" s="111" t="s">
        <v>33</v>
      </c>
      <c r="H63" s="110">
        <v>20</v>
      </c>
      <c r="I63" s="111" t="s">
        <v>19</v>
      </c>
      <c r="J63" s="112">
        <v>56000</v>
      </c>
      <c r="K63" s="108" t="s">
        <v>19</v>
      </c>
      <c r="L63" s="113">
        <v>0.125</v>
      </c>
      <c r="M63" s="113">
        <v>0.1</v>
      </c>
      <c r="N63" s="110"/>
      <c r="O63" s="111" t="s">
        <v>19</v>
      </c>
      <c r="P63" s="20">
        <f t="shared" ref="P63:P64" si="23">(C63+(E63*F63*H63))-N63</f>
        <v>400</v>
      </c>
      <c r="Q63" s="111" t="s">
        <v>19</v>
      </c>
      <c r="R63" s="24">
        <f t="shared" si="22"/>
        <v>17640000</v>
      </c>
      <c r="S63" s="24">
        <f t="shared" si="0"/>
        <v>15891891.891891891</v>
      </c>
    </row>
    <row r="64" spans="1:19" s="19" customFormat="1">
      <c r="A64" s="18" t="s">
        <v>50</v>
      </c>
      <c r="B64" s="19" t="s">
        <v>46</v>
      </c>
      <c r="C64" s="20"/>
      <c r="D64" s="21" t="s">
        <v>19</v>
      </c>
      <c r="E64" s="26">
        <v>1</v>
      </c>
      <c r="F64" s="22">
        <v>4</v>
      </c>
      <c r="G64" s="23" t="s">
        <v>33</v>
      </c>
      <c r="H64" s="22">
        <v>20</v>
      </c>
      <c r="I64" s="23" t="s">
        <v>19</v>
      </c>
      <c r="J64" s="24">
        <v>56000</v>
      </c>
      <c r="K64" s="21" t="s">
        <v>19</v>
      </c>
      <c r="L64" s="25">
        <v>0.125</v>
      </c>
      <c r="M64" s="25">
        <v>0.05</v>
      </c>
      <c r="N64" s="22"/>
      <c r="O64" s="23" t="s">
        <v>19</v>
      </c>
      <c r="P64" s="20">
        <f t="shared" si="23"/>
        <v>80</v>
      </c>
      <c r="Q64" s="23" t="s">
        <v>19</v>
      </c>
      <c r="R64" s="24">
        <f t="shared" ref="R64" si="24">P64*(J64-(J64*L64)-((J64-(J64*L64))*M64))</f>
        <v>3724000</v>
      </c>
      <c r="S64" s="24">
        <f t="shared" ref="S64" si="25">R64/1.11</f>
        <v>3354954.9549549548</v>
      </c>
    </row>
    <row r="65" spans="1:19" s="19" customFormat="1">
      <c r="A65" s="18" t="s">
        <v>51</v>
      </c>
      <c r="B65" s="19" t="s">
        <v>46</v>
      </c>
      <c r="C65" s="20">
        <v>55</v>
      </c>
      <c r="D65" s="21" t="s">
        <v>19</v>
      </c>
      <c r="E65" s="26">
        <v>1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ref="P65:P70" si="26">(C65+(E65*F65*H65))-N65</f>
        <v>175</v>
      </c>
      <c r="Q65" s="23" t="s">
        <v>19</v>
      </c>
      <c r="R65" s="24">
        <f t="shared" si="22"/>
        <v>6837031.25</v>
      </c>
      <c r="S65" s="24">
        <f t="shared" si="0"/>
        <v>6159487.6126126116</v>
      </c>
    </row>
    <row r="66" spans="1:19" s="19" customFormat="1">
      <c r="A66" s="164" t="s">
        <v>51</v>
      </c>
      <c r="B66" s="19" t="s">
        <v>46</v>
      </c>
      <c r="C66" s="20"/>
      <c r="D66" s="21" t="s">
        <v>19</v>
      </c>
      <c r="E66" s="26">
        <v>3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>(C66+(E66*F66*H66))-N66</f>
        <v>360</v>
      </c>
      <c r="Q66" s="23" t="s">
        <v>19</v>
      </c>
      <c r="R66" s="24">
        <f>P66*(J66-(J66*L66)-((J66-(J66*L66))*M66))</f>
        <v>13324500</v>
      </c>
      <c r="S66" s="24">
        <f>R66/1.11</f>
        <v>12004054.054054054</v>
      </c>
    </row>
    <row r="67" spans="1:19" s="19" customFormat="1">
      <c r="A67" s="164" t="s">
        <v>53</v>
      </c>
      <c r="B67" s="19" t="s">
        <v>46</v>
      </c>
      <c r="C67" s="20"/>
      <c r="D67" s="21" t="s">
        <v>19</v>
      </c>
      <c r="E67" s="26">
        <v>2</v>
      </c>
      <c r="F67" s="22">
        <v>4</v>
      </c>
      <c r="G67" s="23" t="s">
        <v>33</v>
      </c>
      <c r="H67" s="22">
        <v>20</v>
      </c>
      <c r="I67" s="23" t="s">
        <v>19</v>
      </c>
      <c r="J67" s="24">
        <v>50000</v>
      </c>
      <c r="K67" s="21" t="s">
        <v>19</v>
      </c>
      <c r="L67" s="25">
        <v>0.125</v>
      </c>
      <c r="M67" s="25">
        <v>0.1</v>
      </c>
      <c r="N67" s="22"/>
      <c r="O67" s="23" t="s">
        <v>19</v>
      </c>
      <c r="P67" s="20">
        <f t="shared" si="26"/>
        <v>160</v>
      </c>
      <c r="Q67" s="23" t="s">
        <v>19</v>
      </c>
      <c r="R67" s="24">
        <f t="shared" ref="R67:R70" si="27">P67*(J67-(J67*L67)-((J67-(J67*L67))*M67))</f>
        <v>6300000</v>
      </c>
      <c r="S67" s="24">
        <f t="shared" ref="S67:S70" si="28">R67/1.11</f>
        <v>5675675.6756756753</v>
      </c>
    </row>
    <row r="68" spans="1:19" s="19" customFormat="1">
      <c r="A68" s="164" t="s">
        <v>54</v>
      </c>
      <c r="B68" s="19" t="s">
        <v>46</v>
      </c>
      <c r="C68" s="20"/>
      <c r="D68" s="21" t="s">
        <v>19</v>
      </c>
      <c r="E68" s="26">
        <v>2</v>
      </c>
      <c r="F68" s="22">
        <v>4</v>
      </c>
      <c r="G68" s="23" t="s">
        <v>33</v>
      </c>
      <c r="H68" s="22">
        <v>20</v>
      </c>
      <c r="I68" s="23" t="s">
        <v>19</v>
      </c>
      <c r="J68" s="24">
        <v>67000</v>
      </c>
      <c r="K68" s="21" t="s">
        <v>19</v>
      </c>
      <c r="L68" s="25">
        <v>0.125</v>
      </c>
      <c r="M68" s="25">
        <v>0.1</v>
      </c>
      <c r="N68" s="22"/>
      <c r="O68" s="23" t="s">
        <v>19</v>
      </c>
      <c r="P68" s="20">
        <f t="shared" si="26"/>
        <v>160</v>
      </c>
      <c r="Q68" s="23" t="s">
        <v>19</v>
      </c>
      <c r="R68" s="24">
        <f t="shared" si="27"/>
        <v>8442000</v>
      </c>
      <c r="S68" s="24">
        <f t="shared" si="28"/>
        <v>7605405.405405405</v>
      </c>
    </row>
    <row r="69" spans="1:19" s="19" customFormat="1">
      <c r="A69" s="164" t="s">
        <v>63</v>
      </c>
      <c r="B69" s="19" t="s">
        <v>46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32500</v>
      </c>
      <c r="K69" s="21" t="s">
        <v>19</v>
      </c>
      <c r="L69" s="25">
        <v>0.125</v>
      </c>
      <c r="M69" s="25">
        <v>0.1</v>
      </c>
      <c r="N69" s="22"/>
      <c r="O69" s="23" t="s">
        <v>19</v>
      </c>
      <c r="P69" s="20">
        <f t="shared" si="26"/>
        <v>360</v>
      </c>
      <c r="Q69" s="23" t="s">
        <v>19</v>
      </c>
      <c r="R69" s="24">
        <f t="shared" si="27"/>
        <v>9213750</v>
      </c>
      <c r="S69" s="24">
        <f t="shared" si="28"/>
        <v>8300675.6756756753</v>
      </c>
    </row>
    <row r="70" spans="1:19" s="19" customFormat="1">
      <c r="A70" s="164" t="s">
        <v>65</v>
      </c>
      <c r="B70" s="19" t="s">
        <v>46</v>
      </c>
      <c r="C70" s="20"/>
      <c r="D70" s="21" t="s">
        <v>19</v>
      </c>
      <c r="E70" s="26">
        <v>2</v>
      </c>
      <c r="F70" s="22">
        <v>6</v>
      </c>
      <c r="G70" s="23" t="s">
        <v>33</v>
      </c>
      <c r="H70" s="22">
        <v>10</v>
      </c>
      <c r="I70" s="23" t="s">
        <v>19</v>
      </c>
      <c r="J70" s="24">
        <v>79000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26"/>
        <v>120</v>
      </c>
      <c r="Q70" s="23" t="s">
        <v>19</v>
      </c>
      <c r="R70" s="24">
        <f t="shared" si="27"/>
        <v>7465500</v>
      </c>
      <c r="S70" s="24">
        <f t="shared" si="28"/>
        <v>6725675.6756756753</v>
      </c>
    </row>
    <row r="71" spans="1:19" s="19" customFormat="1">
      <c r="A71" s="164" t="s">
        <v>48</v>
      </c>
      <c r="B71" s="19" t="s">
        <v>46</v>
      </c>
      <c r="C71" s="20"/>
      <c r="D71" s="21" t="s">
        <v>19</v>
      </c>
      <c r="E71" s="26">
        <v>3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>(C71+(E71*F71*H71))-N71</f>
        <v>360</v>
      </c>
      <c r="Q71" s="23" t="s">
        <v>19</v>
      </c>
      <c r="R71" s="24">
        <f>P71*(J71-(J71*L71)-((J71-(J71*L71))*M71))</f>
        <v>13324500</v>
      </c>
      <c r="S71" s="24">
        <f>R71/1.11</f>
        <v>12004054.054054054</v>
      </c>
    </row>
    <row r="72" spans="1:19" s="19" customFormat="1">
      <c r="A72" s="164" t="s">
        <v>68</v>
      </c>
      <c r="B72" s="19" t="s">
        <v>46</v>
      </c>
      <c r="C72" s="20"/>
      <c r="D72" s="21" t="s">
        <v>19</v>
      </c>
      <c r="E72" s="26">
        <v>4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40000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>(C72+(E72*F72*H72))-N72</f>
        <v>480</v>
      </c>
      <c r="Q72" s="23" t="s">
        <v>19</v>
      </c>
      <c r="R72" s="24">
        <f>P72*(J72-(J72*L72)-((J72-(J72*L72))*M72))</f>
        <v>15120000</v>
      </c>
      <c r="S72" s="24">
        <f>R72/1.11</f>
        <v>13621621.62162162</v>
      </c>
    </row>
    <row r="73" spans="1:19" s="19" customFormat="1">
      <c r="A73" s="164" t="s">
        <v>69</v>
      </c>
      <c r="B73" s="19" t="s">
        <v>46</v>
      </c>
      <c r="C73" s="20"/>
      <c r="D73" s="21" t="s">
        <v>19</v>
      </c>
      <c r="E73" s="26">
        <v>2</v>
      </c>
      <c r="F73" s="22">
        <v>1</v>
      </c>
      <c r="G73" s="23" t="s">
        <v>20</v>
      </c>
      <c r="H73" s="22">
        <v>60</v>
      </c>
      <c r="I73" s="23" t="s">
        <v>19</v>
      </c>
      <c r="J73" s="24">
        <v>74000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>(C73+(E73*F73*H73))-N73</f>
        <v>120</v>
      </c>
      <c r="Q73" s="23" t="s">
        <v>19</v>
      </c>
      <c r="R73" s="24">
        <f>P73*(J73-(J73*L73)-((J73-(J73*L73))*M73))</f>
        <v>6993000</v>
      </c>
      <c r="S73" s="24">
        <f>R73/1.11</f>
        <v>6299999.9999999991</v>
      </c>
    </row>
    <row r="74" spans="1:19" s="19" customFormat="1">
      <c r="A74" s="164" t="s">
        <v>70</v>
      </c>
      <c r="B74" s="19" t="s">
        <v>46</v>
      </c>
      <c r="C74" s="20"/>
      <c r="D74" s="21" t="s">
        <v>19</v>
      </c>
      <c r="E74" s="26">
        <v>2</v>
      </c>
      <c r="F74" s="22">
        <v>4</v>
      </c>
      <c r="G74" s="23" t="s">
        <v>33</v>
      </c>
      <c r="H74" s="22">
        <v>40</v>
      </c>
      <c r="I74" s="23" t="s">
        <v>19</v>
      </c>
      <c r="J74" s="24">
        <v>28000</v>
      </c>
      <c r="K74" s="21" t="s">
        <v>19</v>
      </c>
      <c r="L74" s="25">
        <v>0.125</v>
      </c>
      <c r="M74" s="25">
        <v>0.1</v>
      </c>
      <c r="N74" s="22"/>
      <c r="O74" s="23" t="s">
        <v>19</v>
      </c>
      <c r="P74" s="20">
        <f>(C74+(E74*F74*H74))-N74</f>
        <v>320</v>
      </c>
      <c r="Q74" s="23" t="s">
        <v>19</v>
      </c>
      <c r="R74" s="24">
        <f>P74*(J74-(J74*L74)-((J74-(J74*L74))*M74))</f>
        <v>7056000</v>
      </c>
      <c r="S74" s="24">
        <f>R74/1.11</f>
        <v>6356756.7567567565</v>
      </c>
    </row>
    <row r="75" spans="1:19" s="19" customFormat="1">
      <c r="A75" s="18"/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19" s="19" customFormat="1">
      <c r="A76" s="18" t="s">
        <v>813</v>
      </c>
      <c r="B76" s="19" t="s">
        <v>46</v>
      </c>
      <c r="C76" s="20"/>
      <c r="D76" s="21" t="s">
        <v>19</v>
      </c>
      <c r="E76" s="26">
        <v>2</v>
      </c>
      <c r="F76" s="22">
        <v>4</v>
      </c>
      <c r="G76" s="23" t="s">
        <v>33</v>
      </c>
      <c r="H76" s="22">
        <v>20</v>
      </c>
      <c r="I76" s="23" t="s">
        <v>19</v>
      </c>
      <c r="J76" s="24">
        <v>60000</v>
      </c>
      <c r="K76" s="21" t="s">
        <v>19</v>
      </c>
      <c r="L76" s="25">
        <v>0.125</v>
      </c>
      <c r="M76" s="25">
        <v>0.1</v>
      </c>
      <c r="N76" s="22"/>
      <c r="O76" s="23" t="s">
        <v>19</v>
      </c>
      <c r="P76" s="20">
        <f t="shared" si="21"/>
        <v>160</v>
      </c>
      <c r="Q76" s="23" t="s">
        <v>19</v>
      </c>
      <c r="R76" s="24">
        <f t="shared" si="22"/>
        <v>7560000</v>
      </c>
      <c r="S76" s="24">
        <f t="shared" si="0"/>
        <v>6810810.81081081</v>
      </c>
    </row>
    <row r="77" spans="1:19" s="89" customFormat="1">
      <c r="A77" s="88" t="s">
        <v>52</v>
      </c>
      <c r="B77" s="89" t="s">
        <v>46</v>
      </c>
      <c r="C77" s="87"/>
      <c r="D77" s="90" t="s">
        <v>19</v>
      </c>
      <c r="E77" s="91"/>
      <c r="F77" s="92">
        <v>4</v>
      </c>
      <c r="G77" s="93" t="s">
        <v>33</v>
      </c>
      <c r="H77" s="92">
        <v>40</v>
      </c>
      <c r="I77" s="93" t="s">
        <v>19</v>
      </c>
      <c r="J77" s="94">
        <v>37000</v>
      </c>
      <c r="K77" s="90" t="s">
        <v>19</v>
      </c>
      <c r="L77" s="95">
        <v>0.125</v>
      </c>
      <c r="M77" s="95">
        <v>0.05</v>
      </c>
      <c r="N77" s="92"/>
      <c r="O77" s="93" t="s">
        <v>19</v>
      </c>
      <c r="P77" s="87">
        <f t="shared" si="21"/>
        <v>0</v>
      </c>
      <c r="Q77" s="93" t="s">
        <v>19</v>
      </c>
      <c r="R77" s="94">
        <f t="shared" si="22"/>
        <v>0</v>
      </c>
      <c r="S77" s="94">
        <f t="shared" si="0"/>
        <v>0</v>
      </c>
    </row>
    <row r="78" spans="1:19" s="106" customFormat="1">
      <c r="A78" s="98" t="s">
        <v>53</v>
      </c>
      <c r="B78" s="106" t="s">
        <v>46</v>
      </c>
      <c r="C78" s="107"/>
      <c r="D78" s="108" t="s">
        <v>19</v>
      </c>
      <c r="E78" s="109">
        <v>2</v>
      </c>
      <c r="F78" s="110">
        <v>4</v>
      </c>
      <c r="G78" s="111" t="s">
        <v>33</v>
      </c>
      <c r="H78" s="110">
        <v>20</v>
      </c>
      <c r="I78" s="111" t="s">
        <v>19</v>
      </c>
      <c r="J78" s="112">
        <v>50000</v>
      </c>
      <c r="K78" s="108" t="s">
        <v>19</v>
      </c>
      <c r="L78" s="113">
        <v>0.125</v>
      </c>
      <c r="M78" s="113">
        <v>0.05</v>
      </c>
      <c r="N78" s="110"/>
      <c r="O78" s="111" t="s">
        <v>19</v>
      </c>
      <c r="P78" s="107">
        <f t="shared" si="21"/>
        <v>160</v>
      </c>
      <c r="Q78" s="111" t="s">
        <v>19</v>
      </c>
      <c r="R78" s="112">
        <f t="shared" si="22"/>
        <v>6650000</v>
      </c>
      <c r="S78" s="112">
        <f t="shared" si="0"/>
        <v>5990990.9909909908</v>
      </c>
    </row>
    <row r="79" spans="1:19" s="89" customFormat="1">
      <c r="A79" s="88" t="s">
        <v>768</v>
      </c>
      <c r="B79" s="89" t="s">
        <v>46</v>
      </c>
      <c r="C79" s="87"/>
      <c r="D79" s="90" t="s">
        <v>19</v>
      </c>
      <c r="E79" s="91"/>
      <c r="F79" s="92">
        <v>4</v>
      </c>
      <c r="G79" s="93" t="s">
        <v>33</v>
      </c>
      <c r="H79" s="92">
        <v>20</v>
      </c>
      <c r="I79" s="93" t="s">
        <v>19</v>
      </c>
      <c r="J79" s="94">
        <v>50000</v>
      </c>
      <c r="K79" s="90" t="s">
        <v>19</v>
      </c>
      <c r="L79" s="95">
        <v>0.125</v>
      </c>
      <c r="M79" s="95">
        <v>0.05</v>
      </c>
      <c r="N79" s="92"/>
      <c r="O79" s="93" t="s">
        <v>19</v>
      </c>
      <c r="P79" s="87">
        <f t="shared" si="21"/>
        <v>0</v>
      </c>
      <c r="Q79" s="93" t="s">
        <v>19</v>
      </c>
      <c r="R79" s="94">
        <f t="shared" si="22"/>
        <v>0</v>
      </c>
      <c r="S79" s="94">
        <f t="shared" si="0"/>
        <v>0</v>
      </c>
    </row>
    <row r="80" spans="1:19" s="89" customFormat="1">
      <c r="A80" s="88" t="s">
        <v>54</v>
      </c>
      <c r="B80" s="89" t="s">
        <v>46</v>
      </c>
      <c r="C80" s="87"/>
      <c r="D80" s="90" t="s">
        <v>19</v>
      </c>
      <c r="E80" s="91"/>
      <c r="F80" s="92">
        <v>4</v>
      </c>
      <c r="G80" s="93" t="s">
        <v>33</v>
      </c>
      <c r="H80" s="92">
        <v>20</v>
      </c>
      <c r="I80" s="93" t="s">
        <v>19</v>
      </c>
      <c r="J80" s="94">
        <v>67000</v>
      </c>
      <c r="K80" s="90" t="s">
        <v>19</v>
      </c>
      <c r="L80" s="95">
        <v>0.125</v>
      </c>
      <c r="M80" s="95">
        <v>0.05</v>
      </c>
      <c r="N80" s="92"/>
      <c r="O80" s="93" t="s">
        <v>19</v>
      </c>
      <c r="P80" s="87">
        <f t="shared" si="21"/>
        <v>0</v>
      </c>
      <c r="Q80" s="93" t="s">
        <v>19</v>
      </c>
      <c r="R80" s="94">
        <f t="shared" si="22"/>
        <v>0</v>
      </c>
      <c r="S80" s="94">
        <f t="shared" si="0"/>
        <v>0</v>
      </c>
    </row>
    <row r="81" spans="1:19" s="89" customFormat="1">
      <c r="A81" s="88" t="s">
        <v>767</v>
      </c>
      <c r="B81" s="89" t="s">
        <v>46</v>
      </c>
      <c r="C81" s="87"/>
      <c r="D81" s="90" t="s">
        <v>19</v>
      </c>
      <c r="E81" s="91"/>
      <c r="F81" s="92">
        <v>6</v>
      </c>
      <c r="G81" s="93" t="s">
        <v>33</v>
      </c>
      <c r="H81" s="92">
        <v>10</v>
      </c>
      <c r="I81" s="93" t="s">
        <v>19</v>
      </c>
      <c r="J81" s="94">
        <v>77000</v>
      </c>
      <c r="K81" s="90" t="s">
        <v>19</v>
      </c>
      <c r="L81" s="95">
        <v>0.125</v>
      </c>
      <c r="M81" s="95">
        <v>0.05</v>
      </c>
      <c r="N81" s="92"/>
      <c r="O81" s="93" t="s">
        <v>19</v>
      </c>
      <c r="P81" s="87">
        <f t="shared" si="21"/>
        <v>0</v>
      </c>
      <c r="Q81" s="93" t="s">
        <v>19</v>
      </c>
      <c r="R81" s="94">
        <f t="shared" si="22"/>
        <v>0</v>
      </c>
      <c r="S81" s="94">
        <f t="shared" si="0"/>
        <v>0</v>
      </c>
    </row>
    <row r="82" spans="1:19" s="89" customFormat="1">
      <c r="A82" s="88" t="s">
        <v>55</v>
      </c>
      <c r="B82" s="89" t="s">
        <v>46</v>
      </c>
      <c r="C82" s="87"/>
      <c r="D82" s="90" t="s">
        <v>19</v>
      </c>
      <c r="E82" s="91"/>
      <c r="F82" s="92">
        <v>6</v>
      </c>
      <c r="G82" s="93" t="s">
        <v>33</v>
      </c>
      <c r="H82" s="92">
        <v>10</v>
      </c>
      <c r="I82" s="93" t="s">
        <v>19</v>
      </c>
      <c r="J82" s="94">
        <v>73000</v>
      </c>
      <c r="K82" s="90" t="s">
        <v>19</v>
      </c>
      <c r="L82" s="95">
        <v>0.125</v>
      </c>
      <c r="M82" s="95">
        <v>0.05</v>
      </c>
      <c r="N82" s="92"/>
      <c r="O82" s="93" t="s">
        <v>19</v>
      </c>
      <c r="P82" s="87">
        <f t="shared" si="21"/>
        <v>0</v>
      </c>
      <c r="Q82" s="93" t="s">
        <v>19</v>
      </c>
      <c r="R82" s="94">
        <f t="shared" si="22"/>
        <v>0</v>
      </c>
      <c r="S82" s="94">
        <f t="shared" si="0"/>
        <v>0</v>
      </c>
    </row>
    <row r="83" spans="1:19" s="89" customFormat="1">
      <c r="A83" s="88" t="s">
        <v>56</v>
      </c>
      <c r="B83" s="89" t="s">
        <v>46</v>
      </c>
      <c r="C83" s="87"/>
      <c r="D83" s="90" t="s">
        <v>19</v>
      </c>
      <c r="E83" s="91"/>
      <c r="F83" s="92">
        <v>8</v>
      </c>
      <c r="G83" s="93" t="s">
        <v>33</v>
      </c>
      <c r="H83" s="92">
        <v>10</v>
      </c>
      <c r="I83" s="93" t="s">
        <v>19</v>
      </c>
      <c r="J83" s="94">
        <v>56000</v>
      </c>
      <c r="K83" s="90" t="s">
        <v>19</v>
      </c>
      <c r="L83" s="95">
        <v>0.125</v>
      </c>
      <c r="M83" s="95">
        <v>0.05</v>
      </c>
      <c r="N83" s="92"/>
      <c r="O83" s="93" t="s">
        <v>19</v>
      </c>
      <c r="P83" s="87">
        <f t="shared" si="21"/>
        <v>0</v>
      </c>
      <c r="Q83" s="93" t="s">
        <v>19</v>
      </c>
      <c r="R83" s="94">
        <f t="shared" si="22"/>
        <v>0</v>
      </c>
      <c r="S83" s="94">
        <f t="shared" si="0"/>
        <v>0</v>
      </c>
    </row>
    <row r="84" spans="1:19" s="19" customFormat="1">
      <c r="A84" s="18" t="s">
        <v>57</v>
      </c>
      <c r="B84" s="19" t="s">
        <v>46</v>
      </c>
      <c r="C84" s="20">
        <v>112</v>
      </c>
      <c r="D84" s="21" t="s">
        <v>19</v>
      </c>
      <c r="E84" s="26">
        <v>1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21"/>
        <v>232</v>
      </c>
      <c r="Q84" s="23" t="s">
        <v>19</v>
      </c>
      <c r="R84" s="24">
        <f t="shared" si="22"/>
        <v>9063950</v>
      </c>
      <c r="S84" s="24">
        <f t="shared" si="0"/>
        <v>8165720.7207207195</v>
      </c>
    </row>
    <row r="85" spans="1:19" s="96" customFormat="1">
      <c r="A85" s="116" t="s">
        <v>58</v>
      </c>
      <c r="B85" s="117" t="s">
        <v>46</v>
      </c>
      <c r="C85" s="118">
        <v>82</v>
      </c>
      <c r="D85" s="119" t="s">
        <v>19</v>
      </c>
      <c r="E85" s="120">
        <v>1</v>
      </c>
      <c r="F85" s="121">
        <v>8</v>
      </c>
      <c r="G85" s="122" t="s">
        <v>33</v>
      </c>
      <c r="H85" s="121">
        <v>20</v>
      </c>
      <c r="I85" s="122" t="s">
        <v>19</v>
      </c>
      <c r="J85" s="123">
        <v>32000</v>
      </c>
      <c r="K85" s="119" t="s">
        <v>19</v>
      </c>
      <c r="L85" s="124">
        <v>0.125</v>
      </c>
      <c r="M85" s="124">
        <v>0.05</v>
      </c>
      <c r="N85" s="121"/>
      <c r="O85" s="122" t="s">
        <v>19</v>
      </c>
      <c r="P85" s="118">
        <f t="shared" si="21"/>
        <v>242</v>
      </c>
      <c r="Q85" s="122" t="s">
        <v>19</v>
      </c>
      <c r="R85" s="123">
        <f t="shared" si="22"/>
        <v>6437200</v>
      </c>
      <c r="S85" s="123">
        <f t="shared" si="0"/>
        <v>5799279.2792792786</v>
      </c>
    </row>
    <row r="86" spans="1:19" s="19" customFormat="1">
      <c r="A86" s="31" t="s">
        <v>58</v>
      </c>
      <c r="B86" s="32" t="s">
        <v>46</v>
      </c>
      <c r="C86" s="33"/>
      <c r="D86" s="34" t="s">
        <v>19</v>
      </c>
      <c r="E86" s="35">
        <v>1</v>
      </c>
      <c r="F86" s="36">
        <v>8</v>
      </c>
      <c r="G86" s="37" t="s">
        <v>33</v>
      </c>
      <c r="H86" s="36">
        <v>20</v>
      </c>
      <c r="I86" s="37" t="s">
        <v>19</v>
      </c>
      <c r="J86" s="38">
        <v>32000</v>
      </c>
      <c r="K86" s="34" t="s">
        <v>19</v>
      </c>
      <c r="L86" s="39">
        <v>0.125</v>
      </c>
      <c r="M86" s="39">
        <v>0.1</v>
      </c>
      <c r="N86" s="36"/>
      <c r="O86" s="37" t="s">
        <v>19</v>
      </c>
      <c r="P86" s="33">
        <f t="shared" ref="P86" si="29">(C86+(E86*F86*H86))-N86</f>
        <v>160</v>
      </c>
      <c r="Q86" s="37" t="s">
        <v>19</v>
      </c>
      <c r="R86" s="38">
        <f t="shared" ref="R86" si="30">P86*(J86-(J86*L86)-((J86-(J86*L86))*M86))</f>
        <v>4032000</v>
      </c>
      <c r="S86" s="38">
        <f t="shared" ref="S86" si="31">R86/1.11</f>
        <v>3632432.4324324322</v>
      </c>
    </row>
    <row r="87" spans="1:19" s="96" customFormat="1">
      <c r="A87" s="134" t="s">
        <v>59</v>
      </c>
      <c r="B87" s="135" t="s">
        <v>46</v>
      </c>
      <c r="C87" s="136">
        <v>3</v>
      </c>
      <c r="D87" s="137" t="s">
        <v>19</v>
      </c>
      <c r="E87" s="138">
        <v>1</v>
      </c>
      <c r="F87" s="139">
        <v>8</v>
      </c>
      <c r="G87" s="140" t="s">
        <v>33</v>
      </c>
      <c r="H87" s="139">
        <v>20</v>
      </c>
      <c r="I87" s="140" t="s">
        <v>19</v>
      </c>
      <c r="J87" s="141">
        <v>27500</v>
      </c>
      <c r="K87" s="137" t="s">
        <v>19</v>
      </c>
      <c r="L87" s="142">
        <v>0.125</v>
      </c>
      <c r="M87" s="142">
        <v>0.05</v>
      </c>
      <c r="N87" s="139"/>
      <c r="O87" s="140" t="s">
        <v>19</v>
      </c>
      <c r="P87" s="136">
        <f>(C87+(E87*F87*H87))-N87</f>
        <v>163</v>
      </c>
      <c r="Q87" s="140" t="s">
        <v>19</v>
      </c>
      <c r="R87" s="141">
        <f>P87*(J87-(J87*L87)-((J87-(J87*L87))*M87))</f>
        <v>3726078.125</v>
      </c>
      <c r="S87" s="141">
        <f>R87/1.11</f>
        <v>3356827.1396396393</v>
      </c>
    </row>
    <row r="88" spans="1:19" s="19" customFormat="1">
      <c r="A88" s="125" t="s">
        <v>59</v>
      </c>
      <c r="B88" s="126" t="s">
        <v>46</v>
      </c>
      <c r="C88" s="127"/>
      <c r="D88" s="128" t="s">
        <v>19</v>
      </c>
      <c r="E88" s="129">
        <v>1</v>
      </c>
      <c r="F88" s="130">
        <v>8</v>
      </c>
      <c r="G88" s="131" t="s">
        <v>33</v>
      </c>
      <c r="H88" s="130">
        <v>20</v>
      </c>
      <c r="I88" s="131" t="s">
        <v>19</v>
      </c>
      <c r="J88" s="132">
        <v>27500</v>
      </c>
      <c r="K88" s="128" t="s">
        <v>19</v>
      </c>
      <c r="L88" s="133">
        <v>0.125</v>
      </c>
      <c r="M88" s="133">
        <v>0.1</v>
      </c>
      <c r="N88" s="130"/>
      <c r="O88" s="131" t="s">
        <v>19</v>
      </c>
      <c r="P88" s="127">
        <f t="shared" ref="P88" si="32">(C88+(E88*F88*H88))-N88</f>
        <v>160</v>
      </c>
      <c r="Q88" s="131" t="s">
        <v>19</v>
      </c>
      <c r="R88" s="132">
        <f t="shared" ref="R88" si="33">P88*(J88-(J88*L88)-((J88-(J88*L88))*M88))</f>
        <v>3465000</v>
      </c>
      <c r="S88" s="132">
        <f t="shared" ref="S88" si="34">R88/1.11</f>
        <v>3121621.6216216213</v>
      </c>
    </row>
    <row r="89" spans="1:19" s="106" customFormat="1">
      <c r="A89" s="116" t="s">
        <v>60</v>
      </c>
      <c r="B89" s="117" t="s">
        <v>46</v>
      </c>
      <c r="C89" s="118">
        <v>9</v>
      </c>
      <c r="D89" s="119" t="s">
        <v>19</v>
      </c>
      <c r="E89" s="120"/>
      <c r="F89" s="121">
        <v>4</v>
      </c>
      <c r="G89" s="122" t="s">
        <v>33</v>
      </c>
      <c r="H89" s="121">
        <v>20</v>
      </c>
      <c r="I89" s="122" t="s">
        <v>19</v>
      </c>
      <c r="J89" s="123">
        <v>54000</v>
      </c>
      <c r="K89" s="119" t="s">
        <v>19</v>
      </c>
      <c r="L89" s="124">
        <v>0.125</v>
      </c>
      <c r="M89" s="124">
        <v>0.05</v>
      </c>
      <c r="N89" s="121"/>
      <c r="O89" s="122" t="s">
        <v>19</v>
      </c>
      <c r="P89" s="118">
        <f>(C89+(E89*F89*H89))-N89</f>
        <v>9</v>
      </c>
      <c r="Q89" s="122" t="s">
        <v>19</v>
      </c>
      <c r="R89" s="123">
        <f>P89*(J89-(J89*L89)-((J89-(J89*L89))*M89))</f>
        <v>403987.5</v>
      </c>
      <c r="S89" s="123">
        <f>R89/1.11</f>
        <v>363952.70270270266</v>
      </c>
    </row>
    <row r="90" spans="1:19" s="19" customFormat="1">
      <c r="A90" s="31" t="s">
        <v>60</v>
      </c>
      <c r="B90" s="32" t="s">
        <v>46</v>
      </c>
      <c r="C90" s="33"/>
      <c r="D90" s="34" t="s">
        <v>19</v>
      </c>
      <c r="E90" s="35">
        <v>1</v>
      </c>
      <c r="F90" s="36">
        <v>4</v>
      </c>
      <c r="G90" s="37" t="s">
        <v>33</v>
      </c>
      <c r="H90" s="36">
        <v>20</v>
      </c>
      <c r="I90" s="37" t="s">
        <v>19</v>
      </c>
      <c r="J90" s="38">
        <v>55000</v>
      </c>
      <c r="K90" s="34" t="s">
        <v>19</v>
      </c>
      <c r="L90" s="39">
        <v>0.125</v>
      </c>
      <c r="M90" s="39">
        <v>0.05</v>
      </c>
      <c r="N90" s="36"/>
      <c r="O90" s="37" t="s">
        <v>19</v>
      </c>
      <c r="P90" s="33">
        <f t="shared" ref="P90" si="35">(C90+(E90*F90*H90))-N90</f>
        <v>80</v>
      </c>
      <c r="Q90" s="37" t="s">
        <v>19</v>
      </c>
      <c r="R90" s="38">
        <f t="shared" ref="R90" si="36">P90*(J90-(J90*L90)-((J90-(J90*L90))*M90))</f>
        <v>3657500</v>
      </c>
      <c r="S90" s="38">
        <f t="shared" ref="S90" si="37">R90/1.11</f>
        <v>3295045.0450450447</v>
      </c>
    </row>
    <row r="91" spans="1:19" s="19" customFormat="1">
      <c r="A91" s="125" t="s">
        <v>61</v>
      </c>
      <c r="B91" s="126" t="s">
        <v>46</v>
      </c>
      <c r="C91" s="127"/>
      <c r="D91" s="128" t="s">
        <v>19</v>
      </c>
      <c r="E91" s="129">
        <v>2</v>
      </c>
      <c r="F91" s="130">
        <v>6</v>
      </c>
      <c r="G91" s="131" t="s">
        <v>33</v>
      </c>
      <c r="H91" s="130">
        <v>10</v>
      </c>
      <c r="I91" s="131" t="s">
        <v>19</v>
      </c>
      <c r="J91" s="132">
        <v>74000</v>
      </c>
      <c r="K91" s="128" t="s">
        <v>19</v>
      </c>
      <c r="L91" s="133">
        <v>0.125</v>
      </c>
      <c r="M91" s="133">
        <v>0.1</v>
      </c>
      <c r="N91" s="130"/>
      <c r="O91" s="131" t="s">
        <v>19</v>
      </c>
      <c r="P91" s="127">
        <f t="shared" ref="P91" si="38">(C91+(E91*F91*H91))-N91</f>
        <v>120</v>
      </c>
      <c r="Q91" s="131" t="s">
        <v>19</v>
      </c>
      <c r="R91" s="132">
        <f t="shared" ref="R91" si="39">P91*(J91-(J91*L91)-((J91-(J91*L91))*M91))</f>
        <v>6993000</v>
      </c>
      <c r="S91" s="132">
        <f t="shared" ref="S91" si="40">R91/1.11</f>
        <v>6299999.9999999991</v>
      </c>
    </row>
    <row r="92" spans="1:19" s="19" customFormat="1">
      <c r="A92" s="125" t="s">
        <v>61</v>
      </c>
      <c r="B92" s="126" t="s">
        <v>46</v>
      </c>
      <c r="C92" s="127">
        <v>20</v>
      </c>
      <c r="D92" s="128" t="s">
        <v>19</v>
      </c>
      <c r="E92" s="129">
        <v>1</v>
      </c>
      <c r="F92" s="130">
        <v>6</v>
      </c>
      <c r="G92" s="131" t="s">
        <v>33</v>
      </c>
      <c r="H92" s="130">
        <v>10</v>
      </c>
      <c r="I92" s="131" t="s">
        <v>19</v>
      </c>
      <c r="J92" s="132">
        <v>74000</v>
      </c>
      <c r="K92" s="128" t="s">
        <v>19</v>
      </c>
      <c r="L92" s="133">
        <v>0.125</v>
      </c>
      <c r="M92" s="133">
        <v>0.05</v>
      </c>
      <c r="N92" s="130"/>
      <c r="O92" s="131" t="s">
        <v>19</v>
      </c>
      <c r="P92" s="127">
        <f t="shared" si="21"/>
        <v>80</v>
      </c>
      <c r="Q92" s="131" t="s">
        <v>19</v>
      </c>
      <c r="R92" s="132">
        <f t="shared" si="22"/>
        <v>4921000</v>
      </c>
      <c r="S92" s="132">
        <f t="shared" si="0"/>
        <v>4433333.333333333</v>
      </c>
    </row>
    <row r="93" spans="1:19" s="106" customFormat="1">
      <c r="A93" s="116" t="s">
        <v>62</v>
      </c>
      <c r="B93" s="117" t="s">
        <v>46</v>
      </c>
      <c r="C93" s="118">
        <v>4</v>
      </c>
      <c r="D93" s="119" t="s">
        <v>19</v>
      </c>
      <c r="E93" s="120"/>
      <c r="F93" s="121">
        <v>6</v>
      </c>
      <c r="G93" s="122" t="s">
        <v>33</v>
      </c>
      <c r="H93" s="121">
        <v>20</v>
      </c>
      <c r="I93" s="122" t="s">
        <v>19</v>
      </c>
      <c r="J93" s="123">
        <v>52000</v>
      </c>
      <c r="K93" s="119" t="s">
        <v>19</v>
      </c>
      <c r="L93" s="124">
        <v>0.125</v>
      </c>
      <c r="M93" s="124">
        <v>0.1</v>
      </c>
      <c r="N93" s="121"/>
      <c r="O93" s="122" t="s">
        <v>19</v>
      </c>
      <c r="P93" s="118">
        <f>(C93+(E93*F93*H93))-N93</f>
        <v>4</v>
      </c>
      <c r="Q93" s="122" t="s">
        <v>19</v>
      </c>
      <c r="R93" s="123">
        <f>P93*(J93-(J93*L93)-((J93-(J93*L93))*M93))</f>
        <v>163800</v>
      </c>
      <c r="S93" s="123">
        <f>R93/1.11</f>
        <v>147567.56756756754</v>
      </c>
    </row>
    <row r="94" spans="1:19" s="19" customFormat="1">
      <c r="A94" s="31" t="s">
        <v>62</v>
      </c>
      <c r="B94" s="32" t="s">
        <v>46</v>
      </c>
      <c r="C94" s="33"/>
      <c r="D94" s="34" t="s">
        <v>19</v>
      </c>
      <c r="E94" s="35">
        <v>1</v>
      </c>
      <c r="F94" s="36">
        <v>6</v>
      </c>
      <c r="G94" s="37" t="s">
        <v>33</v>
      </c>
      <c r="H94" s="36">
        <v>20</v>
      </c>
      <c r="I94" s="37" t="s">
        <v>19</v>
      </c>
      <c r="J94" s="38">
        <v>52000</v>
      </c>
      <c r="K94" s="34" t="s">
        <v>19</v>
      </c>
      <c r="L94" s="39">
        <v>0.125</v>
      </c>
      <c r="M94" s="39">
        <v>0.05</v>
      </c>
      <c r="N94" s="36"/>
      <c r="O94" s="37" t="s">
        <v>19</v>
      </c>
      <c r="P94" s="33">
        <f t="shared" ref="P94" si="41">(C94+(E94*F94*H94))-N94</f>
        <v>120</v>
      </c>
      <c r="Q94" s="37" t="s">
        <v>19</v>
      </c>
      <c r="R94" s="38">
        <f t="shared" ref="R94" si="42">P94*(J94-(J94*L94)-((J94-(J94*L94))*M94))</f>
        <v>5187000</v>
      </c>
      <c r="S94" s="38">
        <f t="shared" ref="S94" si="43">R94/1.11</f>
        <v>4672972.9729729723</v>
      </c>
    </row>
    <row r="95" spans="1:19" s="19" customFormat="1">
      <c r="A95" s="18" t="s">
        <v>63</v>
      </c>
      <c r="B95" s="19" t="s">
        <v>46</v>
      </c>
      <c r="C95" s="20">
        <v>330</v>
      </c>
      <c r="D95" s="21" t="s">
        <v>19</v>
      </c>
      <c r="E95" s="26">
        <v>1</v>
      </c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0.125</v>
      </c>
      <c r="M95" s="25">
        <v>0.05</v>
      </c>
      <c r="N95" s="22"/>
      <c r="O95" s="23" t="s">
        <v>19</v>
      </c>
      <c r="P95" s="20">
        <f t="shared" si="21"/>
        <v>450</v>
      </c>
      <c r="Q95" s="23" t="s">
        <v>19</v>
      </c>
      <c r="R95" s="24">
        <f t="shared" si="22"/>
        <v>12157031.25</v>
      </c>
      <c r="S95" s="24">
        <f t="shared" si="0"/>
        <v>10952280.405405404</v>
      </c>
    </row>
    <row r="96" spans="1:19" s="19" customFormat="1">
      <c r="A96" s="18" t="s">
        <v>814</v>
      </c>
      <c r="B96" s="19" t="s">
        <v>46</v>
      </c>
      <c r="C96" s="20"/>
      <c r="D96" s="21" t="s">
        <v>19</v>
      </c>
      <c r="E96" s="26">
        <v>2</v>
      </c>
      <c r="F96" s="22">
        <v>8</v>
      </c>
      <c r="G96" s="23" t="s">
        <v>33</v>
      </c>
      <c r="H96" s="22">
        <v>10</v>
      </c>
      <c r="I96" s="23" t="s">
        <v>19</v>
      </c>
      <c r="J96" s="24">
        <v>62000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21"/>
        <v>160</v>
      </c>
      <c r="Q96" s="23" t="s">
        <v>19</v>
      </c>
      <c r="R96" s="24">
        <f t="shared" si="22"/>
        <v>7812000</v>
      </c>
      <c r="S96" s="24">
        <f t="shared" si="0"/>
        <v>7037837.8378378376</v>
      </c>
    </row>
    <row r="97" spans="1:19" s="19" customFormat="1">
      <c r="A97" s="18" t="s">
        <v>815</v>
      </c>
      <c r="B97" s="19" t="s">
        <v>46</v>
      </c>
      <c r="C97" s="20"/>
      <c r="D97" s="21" t="s">
        <v>19</v>
      </c>
      <c r="E97" s="26">
        <v>2</v>
      </c>
      <c r="F97" s="22">
        <v>6</v>
      </c>
      <c r="G97" s="23" t="s">
        <v>33</v>
      </c>
      <c r="H97" s="22">
        <v>10</v>
      </c>
      <c r="I97" s="23" t="s">
        <v>19</v>
      </c>
      <c r="J97" s="24">
        <v>88000</v>
      </c>
      <c r="K97" s="21" t="s">
        <v>19</v>
      </c>
      <c r="L97" s="25">
        <v>0.125</v>
      </c>
      <c r="M97" s="25">
        <v>0.1</v>
      </c>
      <c r="N97" s="22"/>
      <c r="O97" s="23" t="s">
        <v>19</v>
      </c>
      <c r="P97" s="20">
        <f t="shared" si="21"/>
        <v>120</v>
      </c>
      <c r="Q97" s="23" t="s">
        <v>19</v>
      </c>
      <c r="R97" s="24">
        <f t="shared" si="22"/>
        <v>8316000</v>
      </c>
      <c r="S97" s="24">
        <f t="shared" si="0"/>
        <v>7491891.8918918911</v>
      </c>
    </row>
    <row r="98" spans="1:19" s="106" customFormat="1">
      <c r="A98" s="98" t="s">
        <v>64</v>
      </c>
      <c r="B98" s="106" t="s">
        <v>46</v>
      </c>
      <c r="C98" s="107"/>
      <c r="D98" s="108" t="s">
        <v>19</v>
      </c>
      <c r="E98" s="109">
        <v>1</v>
      </c>
      <c r="F98" s="110">
        <v>6</v>
      </c>
      <c r="G98" s="111" t="s">
        <v>33</v>
      </c>
      <c r="H98" s="110">
        <v>10</v>
      </c>
      <c r="I98" s="111" t="s">
        <v>19</v>
      </c>
      <c r="J98" s="112">
        <v>75000</v>
      </c>
      <c r="K98" s="108" t="s">
        <v>19</v>
      </c>
      <c r="L98" s="113">
        <v>0.125</v>
      </c>
      <c r="M98" s="113">
        <v>0.05</v>
      </c>
      <c r="N98" s="110"/>
      <c r="O98" s="111" t="s">
        <v>19</v>
      </c>
      <c r="P98" s="107">
        <f t="shared" ref="P98" si="44">(C98+(E98*F98*H98))-N98</f>
        <v>60</v>
      </c>
      <c r="Q98" s="111" t="s">
        <v>19</v>
      </c>
      <c r="R98" s="112">
        <f t="shared" ref="R98" si="45">P98*(J98-(J98*L98)-((J98-(J98*L98))*M98))</f>
        <v>3740625</v>
      </c>
      <c r="S98" s="112">
        <f t="shared" ref="S98" si="46">R98/1.11</f>
        <v>3369932.4324324322</v>
      </c>
    </row>
    <row r="99" spans="1:19" s="19" customFormat="1">
      <c r="A99" s="18" t="s">
        <v>65</v>
      </c>
      <c r="B99" s="19" t="s">
        <v>46</v>
      </c>
      <c r="C99" s="20"/>
      <c r="D99" s="21" t="s">
        <v>19</v>
      </c>
      <c r="E99" s="26">
        <v>1</v>
      </c>
      <c r="F99" s="22">
        <v>6</v>
      </c>
      <c r="G99" s="23" t="s">
        <v>33</v>
      </c>
      <c r="H99" s="22">
        <v>10</v>
      </c>
      <c r="I99" s="23" t="s">
        <v>19</v>
      </c>
      <c r="J99" s="24">
        <v>79000</v>
      </c>
      <c r="K99" s="21" t="s">
        <v>19</v>
      </c>
      <c r="L99" s="25">
        <v>0.125</v>
      </c>
      <c r="M99" s="25">
        <v>0.05</v>
      </c>
      <c r="N99" s="22"/>
      <c r="O99" s="23" t="s">
        <v>19</v>
      </c>
      <c r="P99" s="20">
        <f t="shared" ref="P99:P100" si="47">(C99+(E99*F99*H99))-N99</f>
        <v>60</v>
      </c>
      <c r="Q99" s="23" t="s">
        <v>19</v>
      </c>
      <c r="R99" s="24">
        <f t="shared" ref="R99:R100" si="48">P99*(J99-(J99*L99)-((J99-(J99*L99))*M99))</f>
        <v>3940125</v>
      </c>
      <c r="S99" s="24">
        <f t="shared" ref="S99:S100" si="49">R99/1.11</f>
        <v>3549662.1621621619</v>
      </c>
    </row>
    <row r="100" spans="1:19" s="106" customFormat="1">
      <c r="A100" s="116" t="s">
        <v>66</v>
      </c>
      <c r="B100" s="117" t="s">
        <v>46</v>
      </c>
      <c r="C100" s="118">
        <v>83</v>
      </c>
      <c r="D100" s="119" t="s">
        <v>19</v>
      </c>
      <c r="E100" s="120"/>
      <c r="F100" s="121">
        <v>6</v>
      </c>
      <c r="G100" s="122" t="s">
        <v>33</v>
      </c>
      <c r="H100" s="121">
        <v>10</v>
      </c>
      <c r="I100" s="122" t="s">
        <v>19</v>
      </c>
      <c r="J100" s="123">
        <v>75000</v>
      </c>
      <c r="K100" s="119" t="s">
        <v>19</v>
      </c>
      <c r="L100" s="124">
        <v>0.125</v>
      </c>
      <c r="M100" s="124">
        <v>0.05</v>
      </c>
      <c r="N100" s="121"/>
      <c r="O100" s="122" t="s">
        <v>19</v>
      </c>
      <c r="P100" s="118">
        <f t="shared" si="47"/>
        <v>83</v>
      </c>
      <c r="Q100" s="122" t="s">
        <v>19</v>
      </c>
      <c r="R100" s="123">
        <f t="shared" si="48"/>
        <v>5174531.25</v>
      </c>
      <c r="S100" s="123">
        <f t="shared" si="49"/>
        <v>4661739.8648648644</v>
      </c>
    </row>
    <row r="101" spans="1:19" s="19" customFormat="1">
      <c r="A101" s="31" t="s">
        <v>66</v>
      </c>
      <c r="B101" s="32" t="s">
        <v>46</v>
      </c>
      <c r="C101" s="33"/>
      <c r="D101" s="34" t="s">
        <v>19</v>
      </c>
      <c r="E101" s="35">
        <v>1</v>
      </c>
      <c r="F101" s="36">
        <v>6</v>
      </c>
      <c r="G101" s="37" t="s">
        <v>33</v>
      </c>
      <c r="H101" s="36">
        <v>10</v>
      </c>
      <c r="I101" s="37" t="s">
        <v>19</v>
      </c>
      <c r="J101" s="38">
        <v>82000</v>
      </c>
      <c r="K101" s="34" t="s">
        <v>19</v>
      </c>
      <c r="L101" s="39">
        <v>0.125</v>
      </c>
      <c r="M101" s="39">
        <v>0.05</v>
      </c>
      <c r="N101" s="36"/>
      <c r="O101" s="37" t="s">
        <v>19</v>
      </c>
      <c r="P101" s="33">
        <f t="shared" ref="P101" si="50">(C101+(E101*F101*H101))-N101</f>
        <v>60</v>
      </c>
      <c r="Q101" s="37" t="s">
        <v>19</v>
      </c>
      <c r="R101" s="38">
        <f t="shared" ref="R101" si="51">P101*(J101-(J101*L101)-((J101-(J101*L101))*M101))</f>
        <v>4089750</v>
      </c>
      <c r="S101" s="38">
        <f t="shared" ref="S101" si="52">R101/1.11</f>
        <v>3684459.4594594589</v>
      </c>
    </row>
    <row r="102" spans="1:19" s="19" customFormat="1">
      <c r="A102" s="18" t="s">
        <v>67</v>
      </c>
      <c r="B102" s="19" t="s">
        <v>46</v>
      </c>
      <c r="C102" s="20">
        <v>27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24">
        <v>54000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1"/>
        <v>27</v>
      </c>
      <c r="Q102" s="23" t="s">
        <v>19</v>
      </c>
      <c r="R102" s="24">
        <f t="shared" si="22"/>
        <v>1211962.5</v>
      </c>
      <c r="S102" s="24">
        <f t="shared" si="0"/>
        <v>1091858.1081081079</v>
      </c>
    </row>
    <row r="103" spans="1:19" s="19" customFormat="1">
      <c r="A103" s="18" t="s">
        <v>803</v>
      </c>
      <c r="B103" s="19" t="s">
        <v>46</v>
      </c>
      <c r="C103" s="20">
        <v>4</v>
      </c>
      <c r="D103" s="21" t="s">
        <v>19</v>
      </c>
      <c r="E103" s="26"/>
      <c r="F103" s="22">
        <v>6</v>
      </c>
      <c r="G103" s="23" t="s">
        <v>33</v>
      </c>
      <c r="H103" s="22">
        <v>10</v>
      </c>
      <c r="I103" s="23" t="s">
        <v>19</v>
      </c>
      <c r="J103" s="24">
        <v>56000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21"/>
        <v>4</v>
      </c>
      <c r="Q103" s="23" t="s">
        <v>19</v>
      </c>
      <c r="R103" s="24">
        <f t="shared" si="22"/>
        <v>186200</v>
      </c>
      <c r="S103" s="24">
        <f t="shared" si="0"/>
        <v>167747.74774774772</v>
      </c>
    </row>
    <row r="104" spans="1:19" s="19" customFormat="1">
      <c r="A104" s="18" t="s">
        <v>68</v>
      </c>
      <c r="B104" s="19" t="s">
        <v>46</v>
      </c>
      <c r="C104" s="20">
        <v>311</v>
      </c>
      <c r="D104" s="21" t="s">
        <v>19</v>
      </c>
      <c r="E104" s="26">
        <v>2</v>
      </c>
      <c r="F104" s="22">
        <v>6</v>
      </c>
      <c r="G104" s="23" t="s">
        <v>33</v>
      </c>
      <c r="H104" s="22">
        <v>20</v>
      </c>
      <c r="I104" s="23" t="s">
        <v>19</v>
      </c>
      <c r="J104" s="24">
        <v>40000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1"/>
        <v>551</v>
      </c>
      <c r="Q104" s="23" t="s">
        <v>19</v>
      </c>
      <c r="R104" s="24">
        <f t="shared" si="22"/>
        <v>18320750</v>
      </c>
      <c r="S104" s="24">
        <f t="shared" si="0"/>
        <v>16505180.180180179</v>
      </c>
    </row>
    <row r="105" spans="1:19" s="19" customFormat="1">
      <c r="A105" s="18" t="s">
        <v>69</v>
      </c>
      <c r="B105" s="19" t="s">
        <v>46</v>
      </c>
      <c r="C105" s="20">
        <v>114</v>
      </c>
      <c r="D105" s="21" t="s">
        <v>19</v>
      </c>
      <c r="E105" s="26"/>
      <c r="F105" s="22">
        <v>6</v>
      </c>
      <c r="G105" s="23" t="s">
        <v>33</v>
      </c>
      <c r="H105" s="22">
        <v>10</v>
      </c>
      <c r="I105" s="23" t="s">
        <v>19</v>
      </c>
      <c r="J105" s="24">
        <v>66000</v>
      </c>
      <c r="K105" s="21" t="s">
        <v>19</v>
      </c>
      <c r="L105" s="25">
        <v>0.125</v>
      </c>
      <c r="M105" s="25">
        <v>0.1</v>
      </c>
      <c r="N105" s="22"/>
      <c r="O105" s="23" t="s">
        <v>19</v>
      </c>
      <c r="P105" s="20">
        <f t="shared" si="21"/>
        <v>114</v>
      </c>
      <c r="Q105" s="23" t="s">
        <v>19</v>
      </c>
      <c r="R105" s="24">
        <f t="shared" si="22"/>
        <v>5925150</v>
      </c>
      <c r="S105" s="24">
        <f t="shared" si="0"/>
        <v>5337972.9729729723</v>
      </c>
    </row>
    <row r="106" spans="1:19" s="19" customFormat="1">
      <c r="A106" s="18" t="s">
        <v>70</v>
      </c>
      <c r="B106" s="19" t="s">
        <v>46</v>
      </c>
      <c r="C106" s="20">
        <v>281</v>
      </c>
      <c r="D106" s="21" t="s">
        <v>19</v>
      </c>
      <c r="E106" s="26"/>
      <c r="F106" s="22">
        <v>4</v>
      </c>
      <c r="G106" s="23" t="s">
        <v>33</v>
      </c>
      <c r="H106" s="22">
        <v>40</v>
      </c>
      <c r="I106" s="23" t="s">
        <v>19</v>
      </c>
      <c r="J106" s="24">
        <v>27000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21"/>
        <v>281</v>
      </c>
      <c r="Q106" s="23" t="s">
        <v>19</v>
      </c>
      <c r="R106" s="24">
        <f t="shared" si="22"/>
        <v>6306693.75</v>
      </c>
      <c r="S106" s="24">
        <f t="shared" si="0"/>
        <v>5681706.0810810803</v>
      </c>
    </row>
    <row r="107" spans="1:19" s="19" customFormat="1">
      <c r="A107" s="18"/>
      <c r="C107" s="20"/>
      <c r="D107" s="21"/>
      <c r="E107" s="26"/>
      <c r="F107" s="22"/>
      <c r="G107" s="23"/>
      <c r="H107" s="22"/>
      <c r="I107" s="23"/>
      <c r="J107" s="24"/>
      <c r="K107" s="21"/>
      <c r="L107" s="25"/>
      <c r="M107" s="25"/>
      <c r="N107" s="22"/>
      <c r="O107" s="23"/>
      <c r="P107" s="20"/>
      <c r="Q107" s="23"/>
      <c r="R107" s="24"/>
      <c r="S107" s="24"/>
    </row>
    <row r="108" spans="1:19" s="19" customFormat="1" ht="15.75">
      <c r="A108" s="44" t="s">
        <v>71</v>
      </c>
      <c r="C108" s="20"/>
      <c r="D108" s="21"/>
      <c r="E108" s="26"/>
      <c r="F108" s="22"/>
      <c r="G108" s="23"/>
      <c r="H108" s="22"/>
      <c r="I108" s="23"/>
      <c r="J108" s="24"/>
      <c r="K108" s="21"/>
      <c r="L108" s="25"/>
      <c r="M108" s="25"/>
      <c r="N108" s="22"/>
      <c r="O108" s="23"/>
      <c r="P108" s="20"/>
      <c r="Q108" s="23"/>
      <c r="R108" s="24"/>
      <c r="S108" s="24"/>
    </row>
    <row r="109" spans="1:19" s="19" customFormat="1">
      <c r="A109" s="18" t="s">
        <v>832</v>
      </c>
      <c r="B109" s="19" t="s">
        <v>18</v>
      </c>
      <c r="C109" s="20"/>
      <c r="D109" s="21" t="s">
        <v>19</v>
      </c>
      <c r="E109" s="26">
        <v>1</v>
      </c>
      <c r="F109" s="22">
        <v>1</v>
      </c>
      <c r="G109" s="23" t="s">
        <v>20</v>
      </c>
      <c r="H109" s="22">
        <v>20</v>
      </c>
      <c r="I109" s="23" t="s">
        <v>19</v>
      </c>
      <c r="J109" s="24">
        <v>160000</v>
      </c>
      <c r="K109" s="21" t="s">
        <v>19</v>
      </c>
      <c r="L109" s="25">
        <v>0.125</v>
      </c>
      <c r="M109" s="25">
        <v>0.05</v>
      </c>
      <c r="N109" s="22"/>
      <c r="O109" s="23" t="s">
        <v>19</v>
      </c>
      <c r="P109" s="20">
        <f t="shared" ref="P109:P110" si="53">(C109+(E109*F109*H109))-N109</f>
        <v>20</v>
      </c>
      <c r="Q109" s="23" t="s">
        <v>19</v>
      </c>
      <c r="R109" s="24">
        <f t="shared" ref="R109:R110" si="54">P109*(J109-(J109*L109)-((J109-(J109*L109))*M109))</f>
        <v>2660000</v>
      </c>
      <c r="S109" s="24">
        <f t="shared" ref="S109:S110" si="55">R109/1.11</f>
        <v>2396396.3963963962</v>
      </c>
    </row>
    <row r="110" spans="1:19" s="19" customFormat="1">
      <c r="A110" s="18" t="s">
        <v>833</v>
      </c>
      <c r="B110" s="19" t="s">
        <v>18</v>
      </c>
      <c r="C110" s="20"/>
      <c r="D110" s="21" t="s">
        <v>19</v>
      </c>
      <c r="E110" s="26">
        <v>1</v>
      </c>
      <c r="F110" s="22">
        <v>1</v>
      </c>
      <c r="G110" s="23" t="s">
        <v>20</v>
      </c>
      <c r="H110" s="22">
        <v>16</v>
      </c>
      <c r="I110" s="23" t="s">
        <v>19</v>
      </c>
      <c r="J110" s="24">
        <v>187000</v>
      </c>
      <c r="K110" s="21" t="s">
        <v>19</v>
      </c>
      <c r="L110" s="25">
        <v>0.125</v>
      </c>
      <c r="M110" s="25">
        <v>0.05</v>
      </c>
      <c r="N110" s="22"/>
      <c r="O110" s="23" t="s">
        <v>19</v>
      </c>
      <c r="P110" s="20">
        <f t="shared" si="53"/>
        <v>16</v>
      </c>
      <c r="Q110" s="23" t="s">
        <v>19</v>
      </c>
      <c r="R110" s="24">
        <f t="shared" si="54"/>
        <v>2487100</v>
      </c>
      <c r="S110" s="24">
        <f t="shared" si="55"/>
        <v>2240630.6306306305</v>
      </c>
    </row>
    <row r="111" spans="1:19" s="89" customFormat="1">
      <c r="A111" s="88" t="s">
        <v>72</v>
      </c>
      <c r="B111" s="89" t="s">
        <v>18</v>
      </c>
      <c r="C111" s="87"/>
      <c r="D111" s="90" t="s">
        <v>19</v>
      </c>
      <c r="E111" s="91"/>
      <c r="F111" s="92">
        <v>1</v>
      </c>
      <c r="G111" s="93" t="s">
        <v>20</v>
      </c>
      <c r="H111" s="92">
        <v>6</v>
      </c>
      <c r="I111" s="93" t="s">
        <v>19</v>
      </c>
      <c r="J111" s="94">
        <v>390000</v>
      </c>
      <c r="K111" s="90" t="s">
        <v>19</v>
      </c>
      <c r="L111" s="95">
        <v>0.125</v>
      </c>
      <c r="M111" s="95">
        <v>0.05</v>
      </c>
      <c r="N111" s="92"/>
      <c r="O111" s="93" t="s">
        <v>19</v>
      </c>
      <c r="P111" s="87">
        <f>(C111+(E111*F111*H111))-N111</f>
        <v>0</v>
      </c>
      <c r="Q111" s="93" t="s">
        <v>19</v>
      </c>
      <c r="R111" s="94">
        <f>P111*(J111-(J111*L111)-((J111-(J111*L111))*M111))</f>
        <v>0</v>
      </c>
      <c r="S111" s="94">
        <f t="shared" si="0"/>
        <v>0</v>
      </c>
    </row>
    <row r="112" spans="1:19" s="89" customFormat="1">
      <c r="A112" s="88" t="s">
        <v>73</v>
      </c>
      <c r="B112" s="89" t="s">
        <v>18</v>
      </c>
      <c r="C112" s="87"/>
      <c r="D112" s="90" t="s">
        <v>19</v>
      </c>
      <c r="E112" s="91"/>
      <c r="F112" s="92">
        <v>1</v>
      </c>
      <c r="G112" s="93" t="s">
        <v>20</v>
      </c>
      <c r="H112" s="92">
        <v>6</v>
      </c>
      <c r="I112" s="93" t="s">
        <v>19</v>
      </c>
      <c r="J112" s="94">
        <v>500000</v>
      </c>
      <c r="K112" s="90" t="s">
        <v>19</v>
      </c>
      <c r="L112" s="95">
        <v>0.125</v>
      </c>
      <c r="M112" s="95">
        <v>0.05</v>
      </c>
      <c r="N112" s="92"/>
      <c r="O112" s="93" t="s">
        <v>19</v>
      </c>
      <c r="P112" s="87">
        <f>(C112+(E112*F112*H112))-N112</f>
        <v>0</v>
      </c>
      <c r="Q112" s="93" t="s">
        <v>19</v>
      </c>
      <c r="R112" s="94">
        <f>P112*(J112-(J112*L112)-((J112-(J112*L112))*M112))</f>
        <v>0</v>
      </c>
      <c r="S112" s="94">
        <f t="shared" si="0"/>
        <v>0</v>
      </c>
    </row>
    <row r="113" spans="1:19" s="19" customFormat="1">
      <c r="A113" s="18"/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19" customFormat="1" ht="15.75">
      <c r="A114" s="44" t="s">
        <v>74</v>
      </c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71" t="s">
        <v>75</v>
      </c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89" customFormat="1">
      <c r="A116" s="143" t="s">
        <v>76</v>
      </c>
      <c r="B116" s="89" t="s">
        <v>18</v>
      </c>
      <c r="C116" s="87"/>
      <c r="D116" s="90" t="s">
        <v>77</v>
      </c>
      <c r="E116" s="91"/>
      <c r="F116" s="92">
        <v>1</v>
      </c>
      <c r="G116" s="93" t="s">
        <v>20</v>
      </c>
      <c r="H116" s="92">
        <v>48</v>
      </c>
      <c r="I116" s="93" t="s">
        <v>77</v>
      </c>
      <c r="J116" s="94">
        <v>14500</v>
      </c>
      <c r="K116" s="90" t="s">
        <v>77</v>
      </c>
      <c r="L116" s="95">
        <v>0.125</v>
      </c>
      <c r="M116" s="95">
        <v>0.05</v>
      </c>
      <c r="N116" s="92"/>
      <c r="O116" s="93" t="s">
        <v>77</v>
      </c>
      <c r="P116" s="87">
        <f t="shared" ref="P116:P131" si="56">(C116+(E116*F116*H116))-N116</f>
        <v>0</v>
      </c>
      <c r="Q116" s="93" t="s">
        <v>77</v>
      </c>
      <c r="R116" s="94">
        <f t="shared" ref="R116:R127" si="57">P116*(J116-(J116*L116)-((J116-(J116*L116))*M116))</f>
        <v>0</v>
      </c>
      <c r="S116" s="94">
        <f t="shared" si="0"/>
        <v>0</v>
      </c>
    </row>
    <row r="117" spans="1:19" s="89" customFormat="1">
      <c r="A117" s="143" t="s">
        <v>796</v>
      </c>
      <c r="B117" s="89" t="s">
        <v>18</v>
      </c>
      <c r="C117" s="87"/>
      <c r="D117" s="90" t="s">
        <v>77</v>
      </c>
      <c r="E117" s="91"/>
      <c r="F117" s="92">
        <v>1</v>
      </c>
      <c r="G117" s="93" t="s">
        <v>20</v>
      </c>
      <c r="H117" s="92">
        <v>96</v>
      </c>
      <c r="I117" s="93" t="s">
        <v>77</v>
      </c>
      <c r="J117" s="94">
        <v>15500</v>
      </c>
      <c r="K117" s="90" t="s">
        <v>77</v>
      </c>
      <c r="L117" s="95">
        <v>0.125</v>
      </c>
      <c r="M117" s="95">
        <v>0.05</v>
      </c>
      <c r="N117" s="92"/>
      <c r="O117" s="93" t="s">
        <v>77</v>
      </c>
      <c r="P117" s="87">
        <f t="shared" si="56"/>
        <v>0</v>
      </c>
      <c r="Q117" s="93" t="s">
        <v>77</v>
      </c>
      <c r="R117" s="94">
        <f t="shared" si="57"/>
        <v>0</v>
      </c>
      <c r="S117" s="94">
        <f t="shared" si="0"/>
        <v>0</v>
      </c>
    </row>
    <row r="118" spans="1:19" s="89" customFormat="1">
      <c r="A118" s="143" t="s">
        <v>78</v>
      </c>
      <c r="B118" s="89" t="s">
        <v>18</v>
      </c>
      <c r="C118" s="87"/>
      <c r="D118" s="90" t="s">
        <v>77</v>
      </c>
      <c r="E118" s="91"/>
      <c r="F118" s="92">
        <v>1</v>
      </c>
      <c r="G118" s="93" t="s">
        <v>20</v>
      </c>
      <c r="H118" s="92">
        <v>96</v>
      </c>
      <c r="I118" s="93" t="s">
        <v>77</v>
      </c>
      <c r="J118" s="94">
        <v>12000</v>
      </c>
      <c r="K118" s="90" t="s">
        <v>77</v>
      </c>
      <c r="L118" s="95">
        <v>0.125</v>
      </c>
      <c r="M118" s="95">
        <v>0.05</v>
      </c>
      <c r="N118" s="92"/>
      <c r="O118" s="93" t="s">
        <v>77</v>
      </c>
      <c r="P118" s="87">
        <f t="shared" si="56"/>
        <v>0</v>
      </c>
      <c r="Q118" s="93" t="s">
        <v>77</v>
      </c>
      <c r="R118" s="94">
        <f t="shared" si="57"/>
        <v>0</v>
      </c>
      <c r="S118" s="94">
        <f t="shared" si="0"/>
        <v>0</v>
      </c>
    </row>
    <row r="119" spans="1:19" s="89" customFormat="1">
      <c r="A119" s="143" t="s">
        <v>79</v>
      </c>
      <c r="B119" s="89" t="s">
        <v>18</v>
      </c>
      <c r="C119" s="87"/>
      <c r="D119" s="90" t="s">
        <v>77</v>
      </c>
      <c r="E119" s="91"/>
      <c r="F119" s="92">
        <v>1</v>
      </c>
      <c r="G119" s="93" t="s">
        <v>20</v>
      </c>
      <c r="H119" s="92">
        <v>48</v>
      </c>
      <c r="I119" s="93" t="s">
        <v>77</v>
      </c>
      <c r="J119" s="94">
        <v>19500</v>
      </c>
      <c r="K119" s="90" t="s">
        <v>77</v>
      </c>
      <c r="L119" s="95">
        <v>0.125</v>
      </c>
      <c r="M119" s="95">
        <v>0.05</v>
      </c>
      <c r="N119" s="92"/>
      <c r="O119" s="93" t="s">
        <v>77</v>
      </c>
      <c r="P119" s="87">
        <f t="shared" si="56"/>
        <v>0</v>
      </c>
      <c r="Q119" s="93" t="s">
        <v>77</v>
      </c>
      <c r="R119" s="94">
        <f t="shared" si="57"/>
        <v>0</v>
      </c>
      <c r="S119" s="94">
        <f t="shared" si="0"/>
        <v>0</v>
      </c>
    </row>
    <row r="120" spans="1:19" s="89" customFormat="1">
      <c r="A120" s="143" t="s">
        <v>80</v>
      </c>
      <c r="B120" s="89" t="s">
        <v>18</v>
      </c>
      <c r="C120" s="87"/>
      <c r="D120" s="90" t="s">
        <v>77</v>
      </c>
      <c r="E120" s="91"/>
      <c r="F120" s="92">
        <v>1</v>
      </c>
      <c r="G120" s="93" t="s">
        <v>20</v>
      </c>
      <c r="H120" s="92">
        <v>48</v>
      </c>
      <c r="I120" s="93" t="s">
        <v>77</v>
      </c>
      <c r="J120" s="94">
        <v>14800</v>
      </c>
      <c r="K120" s="90" t="s">
        <v>77</v>
      </c>
      <c r="L120" s="95">
        <v>0.125</v>
      </c>
      <c r="M120" s="95">
        <v>0.05</v>
      </c>
      <c r="N120" s="92"/>
      <c r="O120" s="93" t="s">
        <v>77</v>
      </c>
      <c r="P120" s="87">
        <f t="shared" si="56"/>
        <v>0</v>
      </c>
      <c r="Q120" s="93" t="s">
        <v>77</v>
      </c>
      <c r="R120" s="94">
        <f t="shared" si="57"/>
        <v>0</v>
      </c>
      <c r="S120" s="94">
        <f t="shared" si="0"/>
        <v>0</v>
      </c>
    </row>
    <row r="121" spans="1:19" s="89" customFormat="1">
      <c r="A121" s="144" t="s">
        <v>81</v>
      </c>
      <c r="B121" s="89" t="s">
        <v>18</v>
      </c>
      <c r="C121" s="87"/>
      <c r="D121" s="90" t="s">
        <v>77</v>
      </c>
      <c r="E121" s="91"/>
      <c r="F121" s="92">
        <v>1</v>
      </c>
      <c r="G121" s="93" t="s">
        <v>20</v>
      </c>
      <c r="H121" s="92">
        <v>24</v>
      </c>
      <c r="I121" s="93" t="s">
        <v>77</v>
      </c>
      <c r="J121" s="94">
        <v>25200</v>
      </c>
      <c r="K121" s="90" t="s">
        <v>77</v>
      </c>
      <c r="L121" s="95">
        <v>0.125</v>
      </c>
      <c r="M121" s="95">
        <v>0.05</v>
      </c>
      <c r="N121" s="92"/>
      <c r="O121" s="93" t="s">
        <v>77</v>
      </c>
      <c r="P121" s="87">
        <f t="shared" si="56"/>
        <v>0</v>
      </c>
      <c r="Q121" s="93" t="s">
        <v>77</v>
      </c>
      <c r="R121" s="94">
        <f t="shared" si="57"/>
        <v>0</v>
      </c>
      <c r="S121" s="94">
        <f t="shared" si="0"/>
        <v>0</v>
      </c>
    </row>
    <row r="122" spans="1:19" s="89" customFormat="1">
      <c r="A122" s="144" t="s">
        <v>82</v>
      </c>
      <c r="B122" s="89" t="s">
        <v>18</v>
      </c>
      <c r="C122" s="87"/>
      <c r="D122" s="90" t="s">
        <v>77</v>
      </c>
      <c r="E122" s="91"/>
      <c r="F122" s="92">
        <v>1</v>
      </c>
      <c r="G122" s="93" t="s">
        <v>20</v>
      </c>
      <c r="H122" s="92">
        <v>24</v>
      </c>
      <c r="I122" s="93" t="s">
        <v>77</v>
      </c>
      <c r="J122" s="94">
        <v>20200</v>
      </c>
      <c r="K122" s="90" t="s">
        <v>77</v>
      </c>
      <c r="L122" s="95">
        <v>0.125</v>
      </c>
      <c r="M122" s="95">
        <v>0.05</v>
      </c>
      <c r="N122" s="92"/>
      <c r="O122" s="93" t="s">
        <v>77</v>
      </c>
      <c r="P122" s="87">
        <f t="shared" si="56"/>
        <v>0</v>
      </c>
      <c r="Q122" s="93" t="s">
        <v>77</v>
      </c>
      <c r="R122" s="94">
        <f t="shared" si="57"/>
        <v>0</v>
      </c>
      <c r="S122" s="94">
        <f t="shared" si="0"/>
        <v>0</v>
      </c>
    </row>
    <row r="123" spans="1:19" s="106" customFormat="1">
      <c r="A123" s="166" t="s">
        <v>797</v>
      </c>
      <c r="B123" s="106" t="s">
        <v>18</v>
      </c>
      <c r="C123" s="107"/>
      <c r="D123" s="108" t="s">
        <v>77</v>
      </c>
      <c r="E123" s="109">
        <v>2</v>
      </c>
      <c r="F123" s="110">
        <v>1</v>
      </c>
      <c r="G123" s="111" t="s">
        <v>20</v>
      </c>
      <c r="H123" s="110">
        <v>96</v>
      </c>
      <c r="I123" s="111" t="s">
        <v>77</v>
      </c>
      <c r="J123" s="112">
        <v>16500</v>
      </c>
      <c r="K123" s="108" t="s">
        <v>77</v>
      </c>
      <c r="L123" s="113">
        <v>0.125</v>
      </c>
      <c r="M123" s="113">
        <v>0.05</v>
      </c>
      <c r="N123" s="110"/>
      <c r="O123" s="111" t="s">
        <v>77</v>
      </c>
      <c r="P123" s="107">
        <f t="shared" si="56"/>
        <v>192</v>
      </c>
      <c r="Q123" s="111" t="s">
        <v>77</v>
      </c>
      <c r="R123" s="112">
        <f t="shared" si="57"/>
        <v>2633400</v>
      </c>
      <c r="S123" s="112">
        <f t="shared" ref="S123:S212" si="58">R123/1.11</f>
        <v>2372432.4324324322</v>
      </c>
    </row>
    <row r="124" spans="1:19" s="19" customFormat="1">
      <c r="A124" s="18" t="s">
        <v>83</v>
      </c>
      <c r="B124" s="19" t="s">
        <v>18</v>
      </c>
      <c r="C124" s="20">
        <v>53</v>
      </c>
      <c r="D124" s="21" t="s">
        <v>84</v>
      </c>
      <c r="E124" s="26">
        <v>5</v>
      </c>
      <c r="F124" s="22">
        <v>1</v>
      </c>
      <c r="G124" s="23" t="s">
        <v>20</v>
      </c>
      <c r="H124" s="22">
        <v>60</v>
      </c>
      <c r="I124" s="23" t="s">
        <v>84</v>
      </c>
      <c r="J124" s="24">
        <v>27600</v>
      </c>
      <c r="K124" s="21" t="s">
        <v>84</v>
      </c>
      <c r="L124" s="25">
        <v>0.125</v>
      </c>
      <c r="M124" s="25">
        <v>0.05</v>
      </c>
      <c r="N124" s="22"/>
      <c r="O124" s="23" t="s">
        <v>84</v>
      </c>
      <c r="P124" s="20">
        <f t="shared" si="56"/>
        <v>353</v>
      </c>
      <c r="Q124" s="23" t="s">
        <v>84</v>
      </c>
      <c r="R124" s="24">
        <f t="shared" si="57"/>
        <v>8098702.5</v>
      </c>
      <c r="S124" s="24">
        <f t="shared" si="58"/>
        <v>7296128.3783783773</v>
      </c>
    </row>
    <row r="125" spans="1:19" s="106" customFormat="1">
      <c r="A125" s="178" t="s">
        <v>85</v>
      </c>
      <c r="B125" s="106" t="s">
        <v>18</v>
      </c>
      <c r="C125" s="107"/>
      <c r="D125" s="108" t="s">
        <v>84</v>
      </c>
      <c r="E125" s="109">
        <v>7</v>
      </c>
      <c r="F125" s="110">
        <v>1</v>
      </c>
      <c r="G125" s="111" t="s">
        <v>20</v>
      </c>
      <c r="H125" s="110">
        <v>50</v>
      </c>
      <c r="I125" s="111" t="s">
        <v>84</v>
      </c>
      <c r="J125" s="112">
        <v>31200</v>
      </c>
      <c r="K125" s="108" t="s">
        <v>84</v>
      </c>
      <c r="L125" s="113">
        <v>0.125</v>
      </c>
      <c r="M125" s="113">
        <v>0.05</v>
      </c>
      <c r="N125" s="110"/>
      <c r="O125" s="111" t="s">
        <v>84</v>
      </c>
      <c r="P125" s="107">
        <f t="shared" ref="P125" si="59">(C125+(E125*F125*H125))-N125</f>
        <v>350</v>
      </c>
      <c r="Q125" s="111" t="s">
        <v>84</v>
      </c>
      <c r="R125" s="112">
        <f t="shared" ref="R125" si="60">P125*(J125-(J125*L125)-((J125-(J125*L125))*M125))</f>
        <v>9077250</v>
      </c>
      <c r="S125" s="112">
        <f t="shared" ref="S125" si="61">R125/1.11</f>
        <v>8177702.702702702</v>
      </c>
    </row>
    <row r="126" spans="1:19" s="89" customFormat="1">
      <c r="A126" s="88" t="s">
        <v>85</v>
      </c>
      <c r="B126" s="89" t="s">
        <v>18</v>
      </c>
      <c r="C126" s="87"/>
      <c r="D126" s="90" t="s">
        <v>84</v>
      </c>
      <c r="E126" s="91"/>
      <c r="F126" s="92">
        <v>1</v>
      </c>
      <c r="G126" s="93" t="s">
        <v>20</v>
      </c>
      <c r="H126" s="92">
        <v>50</v>
      </c>
      <c r="I126" s="93" t="s">
        <v>84</v>
      </c>
      <c r="J126" s="94">
        <v>30900</v>
      </c>
      <c r="K126" s="90" t="s">
        <v>84</v>
      </c>
      <c r="L126" s="95">
        <v>0.125</v>
      </c>
      <c r="M126" s="95">
        <v>0.05</v>
      </c>
      <c r="N126" s="92"/>
      <c r="O126" s="93" t="s">
        <v>84</v>
      </c>
      <c r="P126" s="87">
        <f t="shared" si="56"/>
        <v>0</v>
      </c>
      <c r="Q126" s="93" t="s">
        <v>84</v>
      </c>
      <c r="R126" s="94">
        <f t="shared" si="57"/>
        <v>0</v>
      </c>
      <c r="S126" s="94">
        <f t="shared" si="58"/>
        <v>0</v>
      </c>
    </row>
    <row r="127" spans="1:19" s="106" customFormat="1">
      <c r="A127" s="98" t="s">
        <v>86</v>
      </c>
      <c r="B127" s="106" t="s">
        <v>18</v>
      </c>
      <c r="C127" s="107"/>
      <c r="D127" s="108" t="s">
        <v>84</v>
      </c>
      <c r="E127" s="109">
        <v>10</v>
      </c>
      <c r="F127" s="110">
        <v>1</v>
      </c>
      <c r="G127" s="111" t="s">
        <v>20</v>
      </c>
      <c r="H127" s="110">
        <v>30</v>
      </c>
      <c r="I127" s="111" t="s">
        <v>84</v>
      </c>
      <c r="J127" s="112">
        <v>48600</v>
      </c>
      <c r="K127" s="108" t="s">
        <v>84</v>
      </c>
      <c r="L127" s="113">
        <v>0.125</v>
      </c>
      <c r="M127" s="113">
        <v>0.05</v>
      </c>
      <c r="N127" s="110"/>
      <c r="O127" s="111" t="s">
        <v>84</v>
      </c>
      <c r="P127" s="107">
        <f t="shared" si="56"/>
        <v>300</v>
      </c>
      <c r="Q127" s="111" t="s">
        <v>84</v>
      </c>
      <c r="R127" s="112">
        <f t="shared" si="57"/>
        <v>12119625</v>
      </c>
      <c r="S127" s="112">
        <f t="shared" si="58"/>
        <v>10918581.081081079</v>
      </c>
    </row>
    <row r="128" spans="1:19" s="19" customFormat="1">
      <c r="A128" s="18" t="s">
        <v>87</v>
      </c>
      <c r="B128" s="19" t="s">
        <v>18</v>
      </c>
      <c r="C128" s="20"/>
      <c r="D128" s="21" t="s">
        <v>84</v>
      </c>
      <c r="E128" s="26">
        <v>12</v>
      </c>
      <c r="F128" s="22">
        <v>1</v>
      </c>
      <c r="G128" s="23" t="s">
        <v>20</v>
      </c>
      <c r="H128" s="22">
        <v>20</v>
      </c>
      <c r="I128" s="23" t="s">
        <v>84</v>
      </c>
      <c r="J128" s="24">
        <v>67800</v>
      </c>
      <c r="K128" s="21" t="s">
        <v>84</v>
      </c>
      <c r="L128" s="25">
        <v>0.125</v>
      </c>
      <c r="M128" s="25">
        <v>0.05</v>
      </c>
      <c r="N128" s="22"/>
      <c r="O128" s="23" t="s">
        <v>84</v>
      </c>
      <c r="P128" s="20">
        <f t="shared" si="56"/>
        <v>240</v>
      </c>
      <c r="Q128" s="23" t="s">
        <v>84</v>
      </c>
      <c r="R128" s="24">
        <f t="shared" ref="R128:R132" si="62">P128*(J128-(J128*L128)-((J128-(J128*L128))*M128))</f>
        <v>13526100</v>
      </c>
      <c r="S128" s="24">
        <f t="shared" ref="S128:S132" si="63">R128/1.11</f>
        <v>12185675.675675675</v>
      </c>
    </row>
    <row r="129" spans="1:19" s="106" customFormat="1">
      <c r="A129" s="98" t="s">
        <v>88</v>
      </c>
      <c r="B129" s="106" t="s">
        <v>18</v>
      </c>
      <c r="C129" s="107"/>
      <c r="D129" s="108" t="s">
        <v>84</v>
      </c>
      <c r="E129" s="109">
        <v>14</v>
      </c>
      <c r="F129" s="110">
        <v>1</v>
      </c>
      <c r="G129" s="111" t="s">
        <v>20</v>
      </c>
      <c r="H129" s="110">
        <v>10</v>
      </c>
      <c r="I129" s="111" t="s">
        <v>84</v>
      </c>
      <c r="J129" s="112">
        <v>115800</v>
      </c>
      <c r="K129" s="108" t="s">
        <v>84</v>
      </c>
      <c r="L129" s="113">
        <v>0.125</v>
      </c>
      <c r="M129" s="113">
        <v>0.05</v>
      </c>
      <c r="N129" s="110"/>
      <c r="O129" s="111" t="s">
        <v>84</v>
      </c>
      <c r="P129" s="107">
        <f t="shared" si="56"/>
        <v>140</v>
      </c>
      <c r="Q129" s="111" t="s">
        <v>84</v>
      </c>
      <c r="R129" s="112">
        <f t="shared" si="62"/>
        <v>13476225</v>
      </c>
      <c r="S129" s="112">
        <f t="shared" si="63"/>
        <v>12140743.243243242</v>
      </c>
    </row>
    <row r="130" spans="1:19" s="19" customFormat="1">
      <c r="A130" s="18" t="s">
        <v>89</v>
      </c>
      <c r="B130" s="19" t="s">
        <v>18</v>
      </c>
      <c r="C130" s="20">
        <v>11</v>
      </c>
      <c r="D130" s="21" t="s">
        <v>84</v>
      </c>
      <c r="E130" s="26">
        <v>19</v>
      </c>
      <c r="F130" s="22">
        <v>1</v>
      </c>
      <c r="G130" s="23" t="s">
        <v>20</v>
      </c>
      <c r="H130" s="22">
        <v>5</v>
      </c>
      <c r="I130" s="23" t="s">
        <v>84</v>
      </c>
      <c r="J130" s="24">
        <v>177000</v>
      </c>
      <c r="K130" s="21" t="s">
        <v>84</v>
      </c>
      <c r="L130" s="25">
        <v>0.125</v>
      </c>
      <c r="M130" s="25">
        <v>0.05</v>
      </c>
      <c r="N130" s="22"/>
      <c r="O130" s="23" t="s">
        <v>84</v>
      </c>
      <c r="P130" s="20">
        <f t="shared" si="56"/>
        <v>106</v>
      </c>
      <c r="Q130" s="23" t="s">
        <v>84</v>
      </c>
      <c r="R130" s="24">
        <f t="shared" si="62"/>
        <v>15595912.5</v>
      </c>
      <c r="S130" s="24">
        <f t="shared" si="63"/>
        <v>14050371.62162162</v>
      </c>
    </row>
    <row r="131" spans="1:19" s="19" customFormat="1">
      <c r="A131" s="18" t="s">
        <v>90</v>
      </c>
      <c r="B131" s="19" t="s">
        <v>18</v>
      </c>
      <c r="C131" s="20">
        <v>105</v>
      </c>
      <c r="D131" s="21" t="s">
        <v>40</v>
      </c>
      <c r="E131" s="26">
        <v>7</v>
      </c>
      <c r="F131" s="22">
        <v>3</v>
      </c>
      <c r="G131" s="23" t="s">
        <v>84</v>
      </c>
      <c r="H131" s="22">
        <v>12</v>
      </c>
      <c r="I131" s="23" t="s">
        <v>40</v>
      </c>
      <c r="J131" s="24">
        <f>507600/12</f>
        <v>42300</v>
      </c>
      <c r="K131" s="21" t="s">
        <v>40</v>
      </c>
      <c r="L131" s="25">
        <v>0.125</v>
      </c>
      <c r="M131" s="25">
        <v>0.05</v>
      </c>
      <c r="N131" s="22"/>
      <c r="O131" s="23" t="s">
        <v>40</v>
      </c>
      <c r="P131" s="20">
        <f t="shared" si="56"/>
        <v>357</v>
      </c>
      <c r="Q131" s="23" t="s">
        <v>40</v>
      </c>
      <c r="R131" s="24">
        <f t="shared" si="62"/>
        <v>12552789.375</v>
      </c>
      <c r="S131" s="24">
        <f t="shared" si="63"/>
        <v>11308819.256756756</v>
      </c>
    </row>
    <row r="132" spans="1:19" s="19" customFormat="1">
      <c r="A132" s="18" t="s">
        <v>826</v>
      </c>
      <c r="B132" s="19" t="s">
        <v>18</v>
      </c>
      <c r="C132" s="20"/>
      <c r="D132" s="21" t="s">
        <v>40</v>
      </c>
      <c r="E132" s="26">
        <v>2</v>
      </c>
      <c r="F132" s="22">
        <v>1</v>
      </c>
      <c r="G132" s="23" t="s">
        <v>20</v>
      </c>
      <c r="H132" s="22">
        <v>20</v>
      </c>
      <c r="I132" s="23" t="s">
        <v>40</v>
      </c>
      <c r="J132" s="24">
        <v>108900</v>
      </c>
      <c r="K132" s="21" t="s">
        <v>40</v>
      </c>
      <c r="L132" s="25">
        <v>0.125</v>
      </c>
      <c r="M132" s="25">
        <v>0.05</v>
      </c>
      <c r="N132" s="22"/>
      <c r="O132" s="23" t="s">
        <v>40</v>
      </c>
      <c r="P132" s="20">
        <f t="shared" ref="P132" si="64">(C132+(E132*F132*H132))-N132</f>
        <v>40</v>
      </c>
      <c r="Q132" s="23" t="s">
        <v>40</v>
      </c>
      <c r="R132" s="24">
        <f t="shared" si="62"/>
        <v>3620925</v>
      </c>
      <c r="S132" s="24">
        <f t="shared" si="63"/>
        <v>3262094.5945945941</v>
      </c>
    </row>
    <row r="133" spans="1:19" s="19" customFormat="1">
      <c r="A133" s="18"/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>
      <c r="A134" s="18" t="s">
        <v>91</v>
      </c>
      <c r="B134" s="19" t="s">
        <v>25</v>
      </c>
      <c r="C134" s="20"/>
      <c r="D134" s="21" t="s">
        <v>84</v>
      </c>
      <c r="E134" s="26">
        <v>5</v>
      </c>
      <c r="F134" s="22">
        <v>1</v>
      </c>
      <c r="G134" s="23" t="s">
        <v>20</v>
      </c>
      <c r="H134" s="22">
        <v>50</v>
      </c>
      <c r="I134" s="23" t="s">
        <v>84</v>
      </c>
      <c r="J134" s="24">
        <f>1440000/50</f>
        <v>28800</v>
      </c>
      <c r="K134" s="21" t="s">
        <v>84</v>
      </c>
      <c r="L134" s="25"/>
      <c r="M134" s="25">
        <v>0.17</v>
      </c>
      <c r="N134" s="22"/>
      <c r="O134" s="23" t="s">
        <v>84</v>
      </c>
      <c r="P134" s="20">
        <f t="shared" ref="P134:P140" si="65">(C134+(E134*F134*H134))-N134</f>
        <v>250</v>
      </c>
      <c r="Q134" s="23" t="s">
        <v>84</v>
      </c>
      <c r="R134" s="24">
        <f t="shared" ref="R134:R140" si="66">P134*(J134-(J134*L134)-((J134-(J134*L134))*M134))</f>
        <v>5976000</v>
      </c>
      <c r="S134" s="24">
        <f t="shared" si="58"/>
        <v>5383783.7837837832</v>
      </c>
    </row>
    <row r="135" spans="1:19" s="19" customFormat="1">
      <c r="A135" s="18" t="s">
        <v>92</v>
      </c>
      <c r="B135" s="19" t="s">
        <v>25</v>
      </c>
      <c r="C135" s="20">
        <v>43</v>
      </c>
      <c r="D135" s="21" t="s">
        <v>84</v>
      </c>
      <c r="E135" s="26">
        <v>10</v>
      </c>
      <c r="F135" s="22">
        <v>1</v>
      </c>
      <c r="G135" s="23" t="s">
        <v>20</v>
      </c>
      <c r="H135" s="22">
        <v>50</v>
      </c>
      <c r="I135" s="23" t="s">
        <v>84</v>
      </c>
      <c r="J135" s="24">
        <f>1590000/50</f>
        <v>31800</v>
      </c>
      <c r="K135" s="21" t="s">
        <v>84</v>
      </c>
      <c r="L135" s="25"/>
      <c r="M135" s="25">
        <v>0.17</v>
      </c>
      <c r="N135" s="22"/>
      <c r="O135" s="23" t="s">
        <v>84</v>
      </c>
      <c r="P135" s="20">
        <f t="shared" si="65"/>
        <v>543</v>
      </c>
      <c r="Q135" s="23" t="s">
        <v>84</v>
      </c>
      <c r="R135" s="24">
        <f t="shared" si="66"/>
        <v>14331942</v>
      </c>
      <c r="S135" s="24">
        <f t="shared" si="58"/>
        <v>12911659.459459458</v>
      </c>
    </row>
    <row r="136" spans="1:19" s="19" customFormat="1">
      <c r="A136" s="18" t="s">
        <v>93</v>
      </c>
      <c r="B136" s="19" t="s">
        <v>25</v>
      </c>
      <c r="C136" s="20">
        <v>57</v>
      </c>
      <c r="D136" s="21" t="s">
        <v>84</v>
      </c>
      <c r="E136" s="26">
        <v>8</v>
      </c>
      <c r="F136" s="22">
        <v>1</v>
      </c>
      <c r="G136" s="23" t="s">
        <v>20</v>
      </c>
      <c r="H136" s="22">
        <v>30</v>
      </c>
      <c r="I136" s="23" t="s">
        <v>84</v>
      </c>
      <c r="J136" s="24">
        <f>1476000/30</f>
        <v>49200</v>
      </c>
      <c r="K136" s="21" t="s">
        <v>84</v>
      </c>
      <c r="L136" s="25"/>
      <c r="M136" s="25">
        <v>0.17</v>
      </c>
      <c r="N136" s="22"/>
      <c r="O136" s="23" t="s">
        <v>84</v>
      </c>
      <c r="P136" s="20">
        <f t="shared" si="65"/>
        <v>297</v>
      </c>
      <c r="Q136" s="23" t="s">
        <v>84</v>
      </c>
      <c r="R136" s="24">
        <f t="shared" si="66"/>
        <v>12128292</v>
      </c>
      <c r="S136" s="24">
        <f t="shared" si="58"/>
        <v>10926389.189189188</v>
      </c>
    </row>
    <row r="137" spans="1:19" s="19" customFormat="1">
      <c r="A137" s="18" t="s">
        <v>94</v>
      </c>
      <c r="B137" s="19" t="s">
        <v>25</v>
      </c>
      <c r="C137" s="20">
        <v>71</v>
      </c>
      <c r="D137" s="21" t="s">
        <v>84</v>
      </c>
      <c r="E137" s="26">
        <v>13</v>
      </c>
      <c r="F137" s="22">
        <v>1</v>
      </c>
      <c r="G137" s="23" t="s">
        <v>20</v>
      </c>
      <c r="H137" s="22">
        <v>20</v>
      </c>
      <c r="I137" s="23" t="s">
        <v>84</v>
      </c>
      <c r="J137" s="24">
        <f>1380000/20</f>
        <v>69000</v>
      </c>
      <c r="K137" s="21" t="s">
        <v>84</v>
      </c>
      <c r="L137" s="25"/>
      <c r="M137" s="25">
        <v>0.17</v>
      </c>
      <c r="N137" s="22"/>
      <c r="O137" s="23" t="s">
        <v>84</v>
      </c>
      <c r="P137" s="20">
        <f t="shared" si="65"/>
        <v>331</v>
      </c>
      <c r="Q137" s="23" t="s">
        <v>84</v>
      </c>
      <c r="R137" s="24">
        <f t="shared" si="66"/>
        <v>18956370</v>
      </c>
      <c r="S137" s="24">
        <f t="shared" si="58"/>
        <v>17077810.810810808</v>
      </c>
    </row>
    <row r="138" spans="1:19" s="19" customFormat="1">
      <c r="A138" s="18" t="s">
        <v>95</v>
      </c>
      <c r="B138" s="19" t="s">
        <v>25</v>
      </c>
      <c r="C138" s="20">
        <v>52</v>
      </c>
      <c r="D138" s="21" t="s">
        <v>84</v>
      </c>
      <c r="E138" s="26">
        <v>14</v>
      </c>
      <c r="F138" s="22">
        <v>1</v>
      </c>
      <c r="G138" s="23" t="s">
        <v>20</v>
      </c>
      <c r="H138" s="22">
        <v>10</v>
      </c>
      <c r="I138" s="23" t="s">
        <v>84</v>
      </c>
      <c r="J138" s="24">
        <f>1200000/10</f>
        <v>120000</v>
      </c>
      <c r="K138" s="21" t="s">
        <v>84</v>
      </c>
      <c r="L138" s="25"/>
      <c r="M138" s="25">
        <v>0.17</v>
      </c>
      <c r="N138" s="22"/>
      <c r="O138" s="23" t="s">
        <v>84</v>
      </c>
      <c r="P138" s="20">
        <f t="shared" si="65"/>
        <v>192</v>
      </c>
      <c r="Q138" s="23" t="s">
        <v>84</v>
      </c>
      <c r="R138" s="24">
        <f t="shared" si="66"/>
        <v>19123200</v>
      </c>
      <c r="S138" s="24">
        <f t="shared" si="58"/>
        <v>17228108.108108107</v>
      </c>
    </row>
    <row r="139" spans="1:19" s="19" customFormat="1">
      <c r="A139" s="18" t="s">
        <v>96</v>
      </c>
      <c r="B139" s="19" t="s">
        <v>25</v>
      </c>
      <c r="C139" s="20"/>
      <c r="D139" s="21" t="s">
        <v>84</v>
      </c>
      <c r="E139" s="26">
        <v>22</v>
      </c>
      <c r="F139" s="22">
        <v>1</v>
      </c>
      <c r="G139" s="23" t="s">
        <v>20</v>
      </c>
      <c r="H139" s="22">
        <v>5</v>
      </c>
      <c r="I139" s="23" t="s">
        <v>84</v>
      </c>
      <c r="J139" s="24">
        <f>900000/5</f>
        <v>180000</v>
      </c>
      <c r="K139" s="21" t="s">
        <v>84</v>
      </c>
      <c r="L139" s="25"/>
      <c r="M139" s="25">
        <v>0.17</v>
      </c>
      <c r="N139" s="22"/>
      <c r="O139" s="23" t="s">
        <v>84</v>
      </c>
      <c r="P139" s="20">
        <f t="shared" si="65"/>
        <v>110</v>
      </c>
      <c r="Q139" s="23" t="s">
        <v>84</v>
      </c>
      <c r="R139" s="24">
        <f t="shared" si="66"/>
        <v>16434000</v>
      </c>
      <c r="S139" s="24">
        <f t="shared" si="58"/>
        <v>14805405.405405404</v>
      </c>
    </row>
    <row r="140" spans="1:19" s="19" customFormat="1">
      <c r="A140" s="18" t="s">
        <v>708</v>
      </c>
      <c r="B140" s="19" t="s">
        <v>25</v>
      </c>
      <c r="C140" s="20">
        <v>345</v>
      </c>
      <c r="D140" s="21" t="s">
        <v>33</v>
      </c>
      <c r="E140" s="26">
        <v>5</v>
      </c>
      <c r="F140" s="22">
        <v>1</v>
      </c>
      <c r="G140" s="23" t="s">
        <v>20</v>
      </c>
      <c r="H140" s="22">
        <v>72</v>
      </c>
      <c r="I140" s="23" t="s">
        <v>33</v>
      </c>
      <c r="J140" s="24">
        <f>1548000/72</f>
        <v>21500</v>
      </c>
      <c r="K140" s="21" t="s">
        <v>33</v>
      </c>
      <c r="L140" s="25"/>
      <c r="M140" s="25">
        <v>0.17</v>
      </c>
      <c r="N140" s="22"/>
      <c r="O140" s="23" t="s">
        <v>33</v>
      </c>
      <c r="P140" s="20">
        <f t="shared" si="65"/>
        <v>705</v>
      </c>
      <c r="Q140" s="23" t="s">
        <v>33</v>
      </c>
      <c r="R140" s="24">
        <f t="shared" si="66"/>
        <v>12580725</v>
      </c>
      <c r="S140" s="24">
        <f t="shared" si="58"/>
        <v>11333986.486486485</v>
      </c>
    </row>
    <row r="141" spans="1:19" s="19" customFormat="1">
      <c r="A141" s="18"/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71" t="s">
        <v>97</v>
      </c>
      <c r="C142" s="20"/>
      <c r="D142" s="21"/>
      <c r="E142" s="26"/>
      <c r="F142" s="22"/>
      <c r="G142" s="23"/>
      <c r="H142" s="22"/>
      <c r="I142" s="23"/>
      <c r="J142" s="24"/>
      <c r="K142" s="21"/>
      <c r="L142" s="25"/>
      <c r="M142" s="25"/>
      <c r="N142" s="22"/>
      <c r="O142" s="23"/>
      <c r="P142" s="20"/>
      <c r="Q142" s="23"/>
      <c r="R142" s="24"/>
      <c r="S142" s="24"/>
    </row>
    <row r="143" spans="1:19" s="19" customFormat="1">
      <c r="A143" s="18" t="s">
        <v>98</v>
      </c>
      <c r="B143" s="19" t="s">
        <v>18</v>
      </c>
      <c r="C143" s="20"/>
      <c r="D143" s="21" t="s">
        <v>33</v>
      </c>
      <c r="E143" s="26">
        <v>2</v>
      </c>
      <c r="F143" s="22">
        <v>50</v>
      </c>
      <c r="G143" s="23" t="s">
        <v>99</v>
      </c>
      <c r="H143" s="22">
        <v>10</v>
      </c>
      <c r="I143" s="23" t="s">
        <v>33</v>
      </c>
      <c r="J143" s="24">
        <v>1850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1000</v>
      </c>
      <c r="Q143" s="23" t="s">
        <v>33</v>
      </c>
      <c r="R143" s="24">
        <f>P143*(J143-(J143*L143)-((J143-(J143*L143))*M143))</f>
        <v>1537812.5</v>
      </c>
      <c r="S143" s="24">
        <f t="shared" si="58"/>
        <v>1385416.6666666665</v>
      </c>
    </row>
    <row r="144" spans="1:19" s="19" customFormat="1">
      <c r="A144" s="18" t="s">
        <v>100</v>
      </c>
      <c r="B144" s="19" t="s">
        <v>18</v>
      </c>
      <c r="C144" s="20"/>
      <c r="D144" s="21" t="s">
        <v>33</v>
      </c>
      <c r="E144" s="26">
        <v>13</v>
      </c>
      <c r="F144" s="22">
        <v>50</v>
      </c>
      <c r="G144" s="23" t="s">
        <v>99</v>
      </c>
      <c r="H144" s="22">
        <v>10</v>
      </c>
      <c r="I144" s="23" t="s">
        <v>33</v>
      </c>
      <c r="J144" s="24">
        <v>1625</v>
      </c>
      <c r="K144" s="21" t="s">
        <v>33</v>
      </c>
      <c r="L144" s="25">
        <v>0.125</v>
      </c>
      <c r="M144" s="25">
        <v>0.05</v>
      </c>
      <c r="N144" s="22"/>
      <c r="O144" s="23" t="s">
        <v>33</v>
      </c>
      <c r="P144" s="20">
        <f>(C144+(E144*F144*H144))-N144</f>
        <v>6500</v>
      </c>
      <c r="Q144" s="23" t="s">
        <v>33</v>
      </c>
      <c r="R144" s="24">
        <f>P144*(J144-(J144*L144)-((J144-(J144*L144))*M144))</f>
        <v>8780078.125</v>
      </c>
      <c r="S144" s="24">
        <f t="shared" si="58"/>
        <v>7909980.2927927924</v>
      </c>
    </row>
    <row r="145" spans="1:19" s="106" customFormat="1">
      <c r="A145" s="98" t="s">
        <v>101</v>
      </c>
      <c r="B145" s="106" t="s">
        <v>18</v>
      </c>
      <c r="C145" s="107"/>
      <c r="D145" s="108" t="s">
        <v>33</v>
      </c>
      <c r="E145" s="109">
        <v>5</v>
      </c>
      <c r="F145" s="110">
        <v>20</v>
      </c>
      <c r="G145" s="111" t="s">
        <v>99</v>
      </c>
      <c r="H145" s="110">
        <v>10</v>
      </c>
      <c r="I145" s="111" t="s">
        <v>33</v>
      </c>
      <c r="J145" s="112">
        <v>4400</v>
      </c>
      <c r="K145" s="108" t="s">
        <v>33</v>
      </c>
      <c r="L145" s="113">
        <v>0.125</v>
      </c>
      <c r="M145" s="113">
        <v>0.05</v>
      </c>
      <c r="N145" s="110"/>
      <c r="O145" s="111" t="s">
        <v>33</v>
      </c>
      <c r="P145" s="107">
        <f>(C145+(E145*F145*H145))-N145</f>
        <v>1000</v>
      </c>
      <c r="Q145" s="111" t="s">
        <v>33</v>
      </c>
      <c r="R145" s="112">
        <f>P145*(J145-(J145*L145)-((J145-(J145*L145))*M145))</f>
        <v>3657500</v>
      </c>
      <c r="S145" s="112">
        <f t="shared" si="58"/>
        <v>3295045.0450450447</v>
      </c>
    </row>
    <row r="146" spans="1:19" s="19" customFormat="1">
      <c r="A146" s="18" t="s">
        <v>102</v>
      </c>
      <c r="B146" s="19" t="s">
        <v>18</v>
      </c>
      <c r="C146" s="20">
        <v>792</v>
      </c>
      <c r="D146" s="21" t="s">
        <v>103</v>
      </c>
      <c r="E146" s="26">
        <v>2</v>
      </c>
      <c r="F146" s="22">
        <v>24</v>
      </c>
      <c r="G146" s="23" t="s">
        <v>33</v>
      </c>
      <c r="H146" s="22">
        <v>12</v>
      </c>
      <c r="I146" s="23" t="s">
        <v>103</v>
      </c>
      <c r="J146" s="24">
        <v>3100</v>
      </c>
      <c r="K146" s="21" t="s">
        <v>103</v>
      </c>
      <c r="L146" s="25">
        <v>0.125</v>
      </c>
      <c r="M146" s="25">
        <v>0.05</v>
      </c>
      <c r="N146" s="22"/>
      <c r="O146" s="23" t="s">
        <v>103</v>
      </c>
      <c r="P146" s="20">
        <f>(C146+(E146*F146*H146))-N146</f>
        <v>1368</v>
      </c>
      <c r="Q146" s="23" t="s">
        <v>103</v>
      </c>
      <c r="R146" s="24">
        <f>P146*(J146-(J146*L146)-((J146-(J146*L146))*M146))</f>
        <v>3525165</v>
      </c>
      <c r="S146" s="24">
        <f t="shared" si="58"/>
        <v>3175824.3243243243</v>
      </c>
    </row>
    <row r="147" spans="1:19" s="19" customFormat="1">
      <c r="A147" s="18"/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>
      <c r="A148" s="18" t="s">
        <v>104</v>
      </c>
      <c r="B148" s="19" t="s">
        <v>25</v>
      </c>
      <c r="C148" s="20">
        <v>390</v>
      </c>
      <c r="D148" s="21" t="s">
        <v>33</v>
      </c>
      <c r="E148" s="26">
        <v>5</v>
      </c>
      <c r="F148" s="22">
        <v>50</v>
      </c>
      <c r="G148" s="23" t="s">
        <v>99</v>
      </c>
      <c r="H148" s="22">
        <v>10</v>
      </c>
      <c r="I148" s="23" t="s">
        <v>33</v>
      </c>
      <c r="J148" s="24">
        <f>850000/50/10</f>
        <v>1700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2890</v>
      </c>
      <c r="Q148" s="23" t="s">
        <v>33</v>
      </c>
      <c r="R148" s="24">
        <f>P148*(J148-(J148*L148)-((J148-(J148*L148))*M148))</f>
        <v>4077790</v>
      </c>
      <c r="S148" s="24">
        <f t="shared" si="58"/>
        <v>3673684.6846846845</v>
      </c>
    </row>
    <row r="149" spans="1:19" s="19" customFormat="1">
      <c r="A149" s="18" t="s">
        <v>105</v>
      </c>
      <c r="B149" s="19" t="s">
        <v>25</v>
      </c>
      <c r="C149" s="20">
        <v>1510</v>
      </c>
      <c r="D149" s="21" t="s">
        <v>33</v>
      </c>
      <c r="E149" s="26">
        <v>9</v>
      </c>
      <c r="F149" s="22">
        <v>50</v>
      </c>
      <c r="G149" s="23" t="s">
        <v>99</v>
      </c>
      <c r="H149" s="22">
        <v>10</v>
      </c>
      <c r="I149" s="23" t="s">
        <v>33</v>
      </c>
      <c r="J149" s="24">
        <f>800000/50/10</f>
        <v>1600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6010</v>
      </c>
      <c r="Q149" s="23" t="s">
        <v>33</v>
      </c>
      <c r="R149" s="24">
        <f>P149*(J149-(J149*L149)-((J149-(J149*L149))*M149))</f>
        <v>7981280</v>
      </c>
      <c r="S149" s="24">
        <f t="shared" si="58"/>
        <v>7190342.3423423413</v>
      </c>
    </row>
    <row r="150" spans="1:19" s="19" customFormat="1">
      <c r="A150" s="18" t="s">
        <v>106</v>
      </c>
      <c r="B150" s="19" t="s">
        <v>25</v>
      </c>
      <c r="C150" s="20">
        <v>810</v>
      </c>
      <c r="D150" s="21" t="s">
        <v>33</v>
      </c>
      <c r="E150" s="26">
        <v>13</v>
      </c>
      <c r="F150" s="22">
        <v>20</v>
      </c>
      <c r="G150" s="23" t="s">
        <v>99</v>
      </c>
      <c r="H150" s="22">
        <v>10</v>
      </c>
      <c r="I150" s="23" t="s">
        <v>33</v>
      </c>
      <c r="J150" s="24">
        <f>860000/20/10</f>
        <v>4300</v>
      </c>
      <c r="K150" s="21" t="s">
        <v>33</v>
      </c>
      <c r="L150" s="25"/>
      <c r="M150" s="25">
        <v>0.17</v>
      </c>
      <c r="N150" s="22"/>
      <c r="O150" s="23" t="s">
        <v>33</v>
      </c>
      <c r="P150" s="20">
        <f>(C150+(E150*F150*H150))-N150</f>
        <v>3410</v>
      </c>
      <c r="Q150" s="23" t="s">
        <v>33</v>
      </c>
      <c r="R150" s="24">
        <f>P150*(J150-(J150*L150)-((J150-(J150*L150))*M150))</f>
        <v>12170290</v>
      </c>
      <c r="S150" s="24">
        <f t="shared" si="58"/>
        <v>10964225.225225225</v>
      </c>
    </row>
    <row r="151" spans="1:19" s="19" customFormat="1">
      <c r="A151" s="18" t="s">
        <v>107</v>
      </c>
      <c r="B151" s="19" t="s">
        <v>25</v>
      </c>
      <c r="C151" s="20">
        <v>16</v>
      </c>
      <c r="D151" s="21" t="s">
        <v>40</v>
      </c>
      <c r="E151" s="26">
        <v>6</v>
      </c>
      <c r="F151" s="22">
        <v>1</v>
      </c>
      <c r="G151" s="23" t="s">
        <v>20</v>
      </c>
      <c r="H151" s="22">
        <v>48</v>
      </c>
      <c r="I151" s="23" t="s">
        <v>40</v>
      </c>
      <c r="J151" s="24">
        <f>1987200/48</f>
        <v>41400</v>
      </c>
      <c r="K151" s="21" t="s">
        <v>40</v>
      </c>
      <c r="L151" s="25"/>
      <c r="M151" s="25">
        <v>0.17</v>
      </c>
      <c r="N151" s="22"/>
      <c r="O151" s="23" t="s">
        <v>40</v>
      </c>
      <c r="P151" s="20">
        <f>(C151+(E151*F151*H151))-N151</f>
        <v>304</v>
      </c>
      <c r="Q151" s="23" t="s">
        <v>40</v>
      </c>
      <c r="R151" s="24">
        <f>P151*(J151-(J151*L151)-((J151-(J151*L151))*M151))</f>
        <v>10446048</v>
      </c>
      <c r="S151" s="24">
        <f t="shared" si="58"/>
        <v>9410854.0540540535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 ht="15.75">
      <c r="A153" s="44" t="s">
        <v>108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71" t="s">
        <v>109</v>
      </c>
      <c r="C154" s="20"/>
      <c r="D154" s="21"/>
      <c r="E154" s="26"/>
      <c r="F154" s="22"/>
      <c r="G154" s="23"/>
      <c r="H154" s="22"/>
      <c r="I154" s="23"/>
      <c r="J154" s="24"/>
      <c r="K154" s="21"/>
      <c r="L154" s="25"/>
      <c r="M154" s="25"/>
      <c r="N154" s="22"/>
      <c r="O154" s="23"/>
      <c r="P154" s="20"/>
      <c r="Q154" s="23"/>
      <c r="R154" s="24"/>
      <c r="S154" s="24"/>
    </row>
    <row r="155" spans="1:19" s="19" customFormat="1">
      <c r="A155" s="164" t="s">
        <v>110</v>
      </c>
      <c r="B155" s="19" t="s">
        <v>18</v>
      </c>
      <c r="C155" s="20"/>
      <c r="D155" s="21" t="s">
        <v>40</v>
      </c>
      <c r="E155" s="26">
        <v>30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25">
        <v>0.125</v>
      </c>
      <c r="M155" s="25">
        <v>0.08</v>
      </c>
      <c r="N155" s="22"/>
      <c r="O155" s="23" t="s">
        <v>40</v>
      </c>
      <c r="P155" s="20">
        <f t="shared" ref="P155" si="67">(C155+(E155*F155*H155))-N155</f>
        <v>1440</v>
      </c>
      <c r="Q155" s="23" t="s">
        <v>40</v>
      </c>
      <c r="R155" s="24">
        <f t="shared" ref="R155" si="68">P155*(J155-(J155*L155)-((J155-(J155*L155))*M155))</f>
        <v>41731200</v>
      </c>
      <c r="S155" s="24">
        <f t="shared" ref="S155" si="69">R155/1.11</f>
        <v>37595675.675675675</v>
      </c>
    </row>
    <row r="156" spans="1:19" s="19" customFormat="1">
      <c r="A156" s="18" t="s">
        <v>110</v>
      </c>
      <c r="B156" s="19" t="s">
        <v>18</v>
      </c>
      <c r="C156" s="20">
        <v>145</v>
      </c>
      <c r="D156" s="21" t="s">
        <v>40</v>
      </c>
      <c r="E156" s="26">
        <v>8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25">
        <v>0.05</v>
      </c>
      <c r="N156" s="22"/>
      <c r="O156" s="23" t="s">
        <v>40</v>
      </c>
      <c r="P156" s="20">
        <f t="shared" ref="P156:P171" si="70">(C156+(E156*F156*H156))-N156</f>
        <v>529</v>
      </c>
      <c r="Q156" s="23" t="s">
        <v>40</v>
      </c>
      <c r="R156" s="24">
        <f t="shared" ref="R156:R171" si="71">P156*(J156-(J156*L156)-((J156-(J156*L156))*M156))</f>
        <v>15830325</v>
      </c>
      <c r="S156" s="24">
        <f t="shared" si="58"/>
        <v>14261554.054054054</v>
      </c>
    </row>
    <row r="157" spans="1:19" s="19" customFormat="1">
      <c r="A157" s="31" t="s">
        <v>111</v>
      </c>
      <c r="B157" s="32" t="s">
        <v>18</v>
      </c>
      <c r="C157" s="33">
        <v>480</v>
      </c>
      <c r="D157" s="34" t="s">
        <v>40</v>
      </c>
      <c r="E157" s="35"/>
      <c r="F157" s="36">
        <v>1</v>
      </c>
      <c r="G157" s="37" t="s">
        <v>20</v>
      </c>
      <c r="H157" s="36">
        <v>48</v>
      </c>
      <c r="I157" s="37" t="s">
        <v>40</v>
      </c>
      <c r="J157" s="38">
        <v>36000</v>
      </c>
      <c r="K157" s="34" t="s">
        <v>40</v>
      </c>
      <c r="L157" s="39">
        <v>0.125</v>
      </c>
      <c r="M157" s="39">
        <v>0.1</v>
      </c>
      <c r="N157" s="36"/>
      <c r="O157" s="37" t="s">
        <v>40</v>
      </c>
      <c r="P157" s="33">
        <f t="shared" ref="P157" si="72">(C157+(E157*F157*H157))-N157</f>
        <v>480</v>
      </c>
      <c r="Q157" s="37" t="s">
        <v>40</v>
      </c>
      <c r="R157" s="38">
        <f t="shared" ref="R157" si="73">P157*(J157-(J157*L157)-((J157-(J157*L157))*M157))</f>
        <v>13608000</v>
      </c>
      <c r="S157" s="38">
        <f t="shared" ref="S157" si="74">R157/1.11</f>
        <v>12259459.459459458</v>
      </c>
    </row>
    <row r="158" spans="1:19" s="19" customFormat="1">
      <c r="A158" s="31" t="s">
        <v>111</v>
      </c>
      <c r="B158" s="32" t="s">
        <v>18</v>
      </c>
      <c r="C158" s="33">
        <v>24</v>
      </c>
      <c r="D158" s="34" t="s">
        <v>40</v>
      </c>
      <c r="E158" s="35">
        <v>19</v>
      </c>
      <c r="F158" s="36">
        <v>1</v>
      </c>
      <c r="G158" s="37" t="s">
        <v>20</v>
      </c>
      <c r="H158" s="36">
        <v>48</v>
      </c>
      <c r="I158" s="37" t="s">
        <v>40</v>
      </c>
      <c r="J158" s="38">
        <v>36000</v>
      </c>
      <c r="K158" s="34" t="s">
        <v>40</v>
      </c>
      <c r="L158" s="39">
        <v>0.125</v>
      </c>
      <c r="M158" s="39">
        <v>0.05</v>
      </c>
      <c r="N158" s="36"/>
      <c r="O158" s="37" t="s">
        <v>40</v>
      </c>
      <c r="P158" s="33">
        <f>(C158+(E158*F158*H158))-N158</f>
        <v>936</v>
      </c>
      <c r="Q158" s="37" t="s">
        <v>40</v>
      </c>
      <c r="R158" s="38">
        <f>P158*(J158-(J158*L158)-((J158-(J158*L158))*M158))</f>
        <v>28009800</v>
      </c>
      <c r="S158" s="38">
        <f>R158/1.11</f>
        <v>25234054.054054052</v>
      </c>
    </row>
    <row r="159" spans="1:19" s="19" customFormat="1">
      <c r="A159" s="18" t="s">
        <v>725</v>
      </c>
      <c r="B159" s="19" t="s">
        <v>18</v>
      </c>
      <c r="C159" s="20">
        <v>96</v>
      </c>
      <c r="D159" s="21" t="s">
        <v>40</v>
      </c>
      <c r="E159" s="26">
        <v>1</v>
      </c>
      <c r="F159" s="22">
        <v>1</v>
      </c>
      <c r="G159" s="23" t="s">
        <v>20</v>
      </c>
      <c r="H159" s="22">
        <v>48</v>
      </c>
      <c r="I159" s="23" t="s">
        <v>40</v>
      </c>
      <c r="J159" s="24">
        <v>36000</v>
      </c>
      <c r="K159" s="21" t="s">
        <v>40</v>
      </c>
      <c r="L159" s="25">
        <v>0.125</v>
      </c>
      <c r="M159" s="25">
        <v>0.05</v>
      </c>
      <c r="N159" s="22"/>
      <c r="O159" s="23" t="s">
        <v>40</v>
      </c>
      <c r="P159" s="20">
        <f t="shared" si="70"/>
        <v>144</v>
      </c>
      <c r="Q159" s="23" t="s">
        <v>40</v>
      </c>
      <c r="R159" s="24">
        <f t="shared" si="71"/>
        <v>4309200</v>
      </c>
      <c r="S159" s="24">
        <f t="shared" si="58"/>
        <v>3882162.1621621619</v>
      </c>
    </row>
    <row r="160" spans="1:19" s="89" customFormat="1">
      <c r="A160" s="88" t="s">
        <v>112</v>
      </c>
      <c r="B160" s="89" t="s">
        <v>18</v>
      </c>
      <c r="C160" s="87"/>
      <c r="D160" s="90" t="s">
        <v>40</v>
      </c>
      <c r="E160" s="91"/>
      <c r="F160" s="92">
        <v>1</v>
      </c>
      <c r="G160" s="93" t="s">
        <v>20</v>
      </c>
      <c r="H160" s="92">
        <v>48</v>
      </c>
      <c r="I160" s="93" t="s">
        <v>40</v>
      </c>
      <c r="J160" s="94">
        <v>39000</v>
      </c>
      <c r="K160" s="90" t="s">
        <v>40</v>
      </c>
      <c r="L160" s="95">
        <v>0.125</v>
      </c>
      <c r="M160" s="95">
        <v>0.05</v>
      </c>
      <c r="N160" s="92"/>
      <c r="O160" s="93" t="s">
        <v>40</v>
      </c>
      <c r="P160" s="87">
        <f t="shared" si="70"/>
        <v>0</v>
      </c>
      <c r="Q160" s="93" t="s">
        <v>40</v>
      </c>
      <c r="R160" s="94">
        <f t="shared" si="71"/>
        <v>0</v>
      </c>
      <c r="S160" s="94">
        <f t="shared" si="58"/>
        <v>0</v>
      </c>
    </row>
    <row r="161" spans="1:19" s="19" customFormat="1">
      <c r="A161" s="18" t="s">
        <v>113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54600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70"/>
        <v>144</v>
      </c>
      <c r="Q161" s="23" t="s">
        <v>40</v>
      </c>
      <c r="R161" s="24">
        <f t="shared" si="71"/>
        <v>6535620</v>
      </c>
      <c r="S161" s="24">
        <f t="shared" si="58"/>
        <v>5887945.9459459456</v>
      </c>
    </row>
    <row r="162" spans="1:19" s="19" customFormat="1">
      <c r="A162" s="18" t="s">
        <v>114</v>
      </c>
      <c r="B162" s="19" t="s">
        <v>18</v>
      </c>
      <c r="C162" s="20">
        <v>144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30000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70"/>
        <v>144</v>
      </c>
      <c r="Q162" s="23" t="s">
        <v>40</v>
      </c>
      <c r="R162" s="24">
        <f t="shared" si="71"/>
        <v>3591000</v>
      </c>
      <c r="S162" s="24">
        <f t="shared" si="58"/>
        <v>3235135.1351351347</v>
      </c>
    </row>
    <row r="163" spans="1:19" s="19" customFormat="1">
      <c r="A163" s="18" t="s">
        <v>693</v>
      </c>
      <c r="B163" s="19" t="s">
        <v>18</v>
      </c>
      <c r="C163" s="20">
        <v>144</v>
      </c>
      <c r="D163" s="21" t="s">
        <v>40</v>
      </c>
      <c r="E163" s="26"/>
      <c r="F163" s="22">
        <v>1</v>
      </c>
      <c r="G163" s="23" t="s">
        <v>20</v>
      </c>
      <c r="H163" s="22">
        <v>48</v>
      </c>
      <c r="I163" s="23" t="s">
        <v>40</v>
      </c>
      <c r="J163" s="24">
        <v>48000</v>
      </c>
      <c r="K163" s="21" t="s">
        <v>40</v>
      </c>
      <c r="L163" s="25">
        <v>0.125</v>
      </c>
      <c r="M163" s="25">
        <v>0.05</v>
      </c>
      <c r="N163" s="22"/>
      <c r="O163" s="23" t="s">
        <v>40</v>
      </c>
      <c r="P163" s="20">
        <f t="shared" si="70"/>
        <v>144</v>
      </c>
      <c r="Q163" s="23" t="s">
        <v>40</v>
      </c>
      <c r="R163" s="24">
        <f t="shared" si="71"/>
        <v>5745600</v>
      </c>
      <c r="S163" s="24">
        <f t="shared" si="58"/>
        <v>5176216.2162162159</v>
      </c>
    </row>
    <row r="164" spans="1:19" s="19" customFormat="1">
      <c r="A164" s="18" t="s">
        <v>115</v>
      </c>
      <c r="B164" s="19" t="s">
        <v>18</v>
      </c>
      <c r="C164" s="20">
        <v>108</v>
      </c>
      <c r="D164" s="21" t="s">
        <v>40</v>
      </c>
      <c r="E164" s="26"/>
      <c r="F164" s="22">
        <v>1</v>
      </c>
      <c r="G164" s="23" t="s">
        <v>20</v>
      </c>
      <c r="H164" s="22">
        <v>36</v>
      </c>
      <c r="I164" s="23" t="s">
        <v>40</v>
      </c>
      <c r="J164" s="24">
        <v>41400</v>
      </c>
      <c r="K164" s="21" t="s">
        <v>40</v>
      </c>
      <c r="L164" s="25">
        <v>0.125</v>
      </c>
      <c r="M164" s="25">
        <v>0.1</v>
      </c>
      <c r="N164" s="22"/>
      <c r="O164" s="23" t="s">
        <v>40</v>
      </c>
      <c r="P164" s="20">
        <f t="shared" si="70"/>
        <v>108</v>
      </c>
      <c r="Q164" s="23" t="s">
        <v>40</v>
      </c>
      <c r="R164" s="24">
        <f t="shared" si="71"/>
        <v>3521070</v>
      </c>
      <c r="S164" s="24">
        <f t="shared" si="58"/>
        <v>3172135.1351351347</v>
      </c>
    </row>
    <row r="165" spans="1:19" s="19" customFormat="1">
      <c r="A165" s="18" t="s">
        <v>116</v>
      </c>
      <c r="B165" s="19" t="s">
        <v>18</v>
      </c>
      <c r="C165" s="20">
        <v>36</v>
      </c>
      <c r="D165" s="21" t="s">
        <v>40</v>
      </c>
      <c r="E165" s="26">
        <v>1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41400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70"/>
        <v>72</v>
      </c>
      <c r="Q165" s="23" t="s">
        <v>40</v>
      </c>
      <c r="R165" s="24">
        <f t="shared" si="71"/>
        <v>2477790</v>
      </c>
      <c r="S165" s="24">
        <f t="shared" si="58"/>
        <v>2232243.2432432431</v>
      </c>
    </row>
    <row r="166" spans="1:19" s="19" customFormat="1">
      <c r="A166" s="18" t="s">
        <v>117</v>
      </c>
      <c r="B166" s="19" t="s">
        <v>18</v>
      </c>
      <c r="C166" s="20">
        <v>528</v>
      </c>
      <c r="D166" s="21" t="s">
        <v>40</v>
      </c>
      <c r="E166" s="26">
        <v>10</v>
      </c>
      <c r="F166" s="22">
        <v>24</v>
      </c>
      <c r="G166" s="23" t="s">
        <v>33</v>
      </c>
      <c r="H166" s="22">
        <v>2</v>
      </c>
      <c r="I166" s="23" t="s">
        <v>40</v>
      </c>
      <c r="J166" s="24">
        <f>70800/2</f>
        <v>35400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70"/>
        <v>1008</v>
      </c>
      <c r="Q166" s="23" t="s">
        <v>40</v>
      </c>
      <c r="R166" s="24">
        <f t="shared" si="71"/>
        <v>29661660</v>
      </c>
      <c r="S166" s="24">
        <f t="shared" si="58"/>
        <v>26722216.216216214</v>
      </c>
    </row>
    <row r="167" spans="1:19" s="19" customFormat="1">
      <c r="A167" s="18" t="s">
        <v>118</v>
      </c>
      <c r="B167" s="19" t="s">
        <v>18</v>
      </c>
      <c r="C167" s="20">
        <v>240</v>
      </c>
      <c r="D167" s="21" t="s">
        <v>40</v>
      </c>
      <c r="E167" s="26">
        <v>10</v>
      </c>
      <c r="F167" s="22">
        <v>24</v>
      </c>
      <c r="G167" s="23" t="s">
        <v>33</v>
      </c>
      <c r="H167" s="22">
        <v>2</v>
      </c>
      <c r="I167" s="23" t="s">
        <v>40</v>
      </c>
      <c r="J167" s="24">
        <f>70800/2</f>
        <v>35400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70"/>
        <v>720</v>
      </c>
      <c r="Q167" s="23" t="s">
        <v>40</v>
      </c>
      <c r="R167" s="24">
        <f t="shared" si="71"/>
        <v>21186900</v>
      </c>
      <c r="S167" s="24">
        <f t="shared" si="58"/>
        <v>19087297.297297295</v>
      </c>
    </row>
    <row r="168" spans="1:19" s="19" customFormat="1">
      <c r="A168" s="18" t="s">
        <v>119</v>
      </c>
      <c r="B168" s="19" t="s">
        <v>18</v>
      </c>
      <c r="C168" s="20">
        <v>29</v>
      </c>
      <c r="D168" s="21" t="s">
        <v>40</v>
      </c>
      <c r="E168" s="26">
        <v>4</v>
      </c>
      <c r="F168" s="22">
        <v>1</v>
      </c>
      <c r="G168" s="23" t="s">
        <v>20</v>
      </c>
      <c r="H168" s="22">
        <v>36</v>
      </c>
      <c r="I168" s="23" t="s">
        <v>40</v>
      </c>
      <c r="J168" s="24">
        <v>34200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70"/>
        <v>173</v>
      </c>
      <c r="Q168" s="23" t="s">
        <v>40</v>
      </c>
      <c r="R168" s="24">
        <f t="shared" si="71"/>
        <v>4918173.75</v>
      </c>
      <c r="S168" s="24">
        <f t="shared" si="58"/>
        <v>4430787.1621621614</v>
      </c>
    </row>
    <row r="169" spans="1:19" s="19" customFormat="1">
      <c r="A169" s="18" t="s">
        <v>120</v>
      </c>
      <c r="B169" s="19" t="s">
        <v>18</v>
      </c>
      <c r="C169" s="20">
        <v>48</v>
      </c>
      <c r="D169" s="21" t="s">
        <v>40</v>
      </c>
      <c r="E169" s="26"/>
      <c r="F169" s="22">
        <v>24</v>
      </c>
      <c r="G169" s="23" t="s">
        <v>33</v>
      </c>
      <c r="H169" s="22">
        <v>2</v>
      </c>
      <c r="I169" s="23" t="s">
        <v>40</v>
      </c>
      <c r="J169" s="24">
        <f>46800/2</f>
        <v>23400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70"/>
        <v>48</v>
      </c>
      <c r="Q169" s="23" t="s">
        <v>40</v>
      </c>
      <c r="R169" s="24">
        <f t="shared" si="71"/>
        <v>933660</v>
      </c>
      <c r="S169" s="24">
        <f t="shared" si="58"/>
        <v>841135.13513513503</v>
      </c>
    </row>
    <row r="170" spans="1:19" s="89" customFormat="1">
      <c r="A170" s="88" t="s">
        <v>121</v>
      </c>
      <c r="B170" s="89" t="s">
        <v>18</v>
      </c>
      <c r="C170" s="87"/>
      <c r="D170" s="90" t="s">
        <v>40</v>
      </c>
      <c r="E170" s="91"/>
      <c r="F170" s="92">
        <v>60</v>
      </c>
      <c r="G170" s="93" t="s">
        <v>33</v>
      </c>
      <c r="H170" s="92">
        <v>1</v>
      </c>
      <c r="I170" s="93" t="s">
        <v>40</v>
      </c>
      <c r="J170" s="94">
        <v>43200</v>
      </c>
      <c r="K170" s="90" t="s">
        <v>40</v>
      </c>
      <c r="L170" s="95">
        <v>0.125</v>
      </c>
      <c r="M170" s="95">
        <v>0.05</v>
      </c>
      <c r="N170" s="92"/>
      <c r="O170" s="93" t="s">
        <v>40</v>
      </c>
      <c r="P170" s="87">
        <f t="shared" si="70"/>
        <v>0</v>
      </c>
      <c r="Q170" s="93" t="s">
        <v>40</v>
      </c>
      <c r="R170" s="94">
        <f t="shared" si="71"/>
        <v>0</v>
      </c>
      <c r="S170" s="94">
        <f t="shared" si="58"/>
        <v>0</v>
      </c>
    </row>
    <row r="171" spans="1:19" s="19" customFormat="1">
      <c r="A171" s="18" t="s">
        <v>687</v>
      </c>
      <c r="B171" s="19" t="s">
        <v>18</v>
      </c>
      <c r="C171" s="20">
        <v>209</v>
      </c>
      <c r="D171" s="21" t="s">
        <v>40</v>
      </c>
      <c r="E171" s="26"/>
      <c r="F171" s="22">
        <v>120</v>
      </c>
      <c r="G171" s="23" t="s">
        <v>33</v>
      </c>
      <c r="H171" s="22">
        <v>1</v>
      </c>
      <c r="I171" s="23" t="s">
        <v>40</v>
      </c>
      <c r="J171" s="24">
        <v>17400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70"/>
        <v>209</v>
      </c>
      <c r="Q171" s="23" t="s">
        <v>40</v>
      </c>
      <c r="R171" s="24">
        <f t="shared" si="71"/>
        <v>3022923.75</v>
      </c>
      <c r="S171" s="24">
        <f t="shared" si="58"/>
        <v>2723354.7297297297</v>
      </c>
    </row>
    <row r="172" spans="1:19" s="19" customFormat="1">
      <c r="A172" s="18"/>
      <c r="C172" s="20"/>
      <c r="D172" s="21"/>
      <c r="E172" s="26"/>
      <c r="F172" s="22"/>
      <c r="G172" s="23"/>
      <c r="H172" s="22"/>
      <c r="I172" s="23"/>
      <c r="J172" s="24"/>
      <c r="K172" s="21"/>
      <c r="L172" s="25"/>
      <c r="M172" s="25"/>
      <c r="N172" s="22"/>
      <c r="O172" s="23"/>
      <c r="P172" s="20"/>
      <c r="Q172" s="23"/>
      <c r="R172" s="24"/>
      <c r="S172" s="24"/>
    </row>
    <row r="173" spans="1:19" s="89" customFormat="1">
      <c r="A173" s="88" t="s">
        <v>122</v>
      </c>
      <c r="B173" s="89" t="s">
        <v>25</v>
      </c>
      <c r="C173" s="87"/>
      <c r="D173" s="90" t="s">
        <v>40</v>
      </c>
      <c r="E173" s="91"/>
      <c r="F173" s="92">
        <v>1</v>
      </c>
      <c r="G173" s="93" t="s">
        <v>20</v>
      </c>
      <c r="H173" s="92">
        <v>36</v>
      </c>
      <c r="I173" s="93" t="s">
        <v>40</v>
      </c>
      <c r="J173" s="94">
        <f>1954800/36</f>
        <v>54300</v>
      </c>
      <c r="K173" s="90" t="s">
        <v>40</v>
      </c>
      <c r="L173" s="95"/>
      <c r="M173" s="95">
        <v>0.17</v>
      </c>
      <c r="N173" s="92"/>
      <c r="O173" s="93" t="s">
        <v>40</v>
      </c>
      <c r="P173" s="87">
        <f t="shared" ref="P173:P180" si="75">(C173+(E173*F173*H173))-N173</f>
        <v>0</v>
      </c>
      <c r="Q173" s="93" t="s">
        <v>40</v>
      </c>
      <c r="R173" s="94">
        <f t="shared" ref="R173:R180" si="76">P173*(J173-(J173*L173)-((J173-(J173*L173))*M173))</f>
        <v>0</v>
      </c>
      <c r="S173" s="94">
        <f t="shared" si="58"/>
        <v>0</v>
      </c>
    </row>
    <row r="174" spans="1:19" s="89" customFormat="1">
      <c r="A174" s="88" t="s">
        <v>123</v>
      </c>
      <c r="B174" s="89" t="s">
        <v>25</v>
      </c>
      <c r="C174" s="87"/>
      <c r="D174" s="90" t="s">
        <v>40</v>
      </c>
      <c r="E174" s="91"/>
      <c r="F174" s="92">
        <v>1</v>
      </c>
      <c r="G174" s="93" t="s">
        <v>20</v>
      </c>
      <c r="H174" s="92">
        <v>36</v>
      </c>
      <c r="I174" s="93" t="s">
        <v>40</v>
      </c>
      <c r="J174" s="94">
        <f>1954800/36</f>
        <v>54300</v>
      </c>
      <c r="K174" s="90" t="s">
        <v>40</v>
      </c>
      <c r="L174" s="95"/>
      <c r="M174" s="95">
        <v>0.17</v>
      </c>
      <c r="N174" s="92"/>
      <c r="O174" s="93" t="s">
        <v>40</v>
      </c>
      <c r="P174" s="87">
        <f t="shared" si="75"/>
        <v>0</v>
      </c>
      <c r="Q174" s="93" t="s">
        <v>40</v>
      </c>
      <c r="R174" s="94">
        <f t="shared" si="76"/>
        <v>0</v>
      </c>
      <c r="S174" s="94">
        <f t="shared" si="58"/>
        <v>0</v>
      </c>
    </row>
    <row r="175" spans="1:19" s="19" customFormat="1">
      <c r="A175" s="18" t="s">
        <v>124</v>
      </c>
      <c r="B175" s="19" t="s">
        <v>25</v>
      </c>
      <c r="C175" s="20">
        <v>1211</v>
      </c>
      <c r="D175" s="21" t="s">
        <v>40</v>
      </c>
      <c r="E175" s="26">
        <v>206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f>1954800/36</f>
        <v>54300</v>
      </c>
      <c r="K175" s="21" t="s">
        <v>40</v>
      </c>
      <c r="L175" s="25"/>
      <c r="M175" s="25">
        <v>0.17</v>
      </c>
      <c r="N175" s="22"/>
      <c r="O175" s="23" t="s">
        <v>40</v>
      </c>
      <c r="P175" s="20">
        <f t="shared" si="75"/>
        <v>8627</v>
      </c>
      <c r="Q175" s="23" t="s">
        <v>40</v>
      </c>
      <c r="R175" s="24">
        <f t="shared" si="76"/>
        <v>388810263</v>
      </c>
      <c r="S175" s="24">
        <f t="shared" si="58"/>
        <v>350279516.21621621</v>
      </c>
    </row>
    <row r="176" spans="1:19" s="19" customFormat="1">
      <c r="A176" s="18" t="s">
        <v>125</v>
      </c>
      <c r="B176" s="19" t="s">
        <v>25</v>
      </c>
      <c r="C176" s="20">
        <v>84</v>
      </c>
      <c r="D176" s="21" t="s">
        <v>40</v>
      </c>
      <c r="E176" s="26">
        <v>11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2008800/36</f>
        <v>55800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75"/>
        <v>480</v>
      </c>
      <c r="Q176" s="23" t="s">
        <v>40</v>
      </c>
      <c r="R176" s="24">
        <f t="shared" si="76"/>
        <v>22230720</v>
      </c>
      <c r="S176" s="24">
        <f t="shared" si="58"/>
        <v>20027675.675675675</v>
      </c>
    </row>
    <row r="177" spans="1:19" s="19" customFormat="1">
      <c r="A177" s="18" t="s">
        <v>126</v>
      </c>
      <c r="B177" s="19" t="s">
        <v>25</v>
      </c>
      <c r="C177" s="20">
        <v>108</v>
      </c>
      <c r="D177" s="21" t="s">
        <v>40</v>
      </c>
      <c r="E177" s="26">
        <v>40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1695600/36</f>
        <v>47100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75"/>
        <v>1548</v>
      </c>
      <c r="Q177" s="23" t="s">
        <v>40</v>
      </c>
      <c r="R177" s="24">
        <f t="shared" si="76"/>
        <v>60515964</v>
      </c>
      <c r="S177" s="24">
        <f t="shared" si="58"/>
        <v>54518886.48648648</v>
      </c>
    </row>
    <row r="178" spans="1:19" s="106" customFormat="1">
      <c r="A178" s="98" t="s">
        <v>127</v>
      </c>
      <c r="B178" s="106" t="s">
        <v>25</v>
      </c>
      <c r="C178" s="107"/>
      <c r="D178" s="108" t="s">
        <v>40</v>
      </c>
      <c r="E178" s="109">
        <v>4</v>
      </c>
      <c r="F178" s="110">
        <v>1</v>
      </c>
      <c r="G178" s="111" t="s">
        <v>20</v>
      </c>
      <c r="H178" s="110">
        <v>36</v>
      </c>
      <c r="I178" s="111" t="s">
        <v>40</v>
      </c>
      <c r="J178" s="112">
        <f>1922400/36</f>
        <v>53400</v>
      </c>
      <c r="K178" s="108" t="s">
        <v>40</v>
      </c>
      <c r="L178" s="113"/>
      <c r="M178" s="113">
        <v>0.17</v>
      </c>
      <c r="N178" s="110"/>
      <c r="O178" s="111" t="s">
        <v>40</v>
      </c>
      <c r="P178" s="107">
        <f t="shared" si="75"/>
        <v>144</v>
      </c>
      <c r="Q178" s="111" t="s">
        <v>40</v>
      </c>
      <c r="R178" s="112">
        <f t="shared" si="76"/>
        <v>6382368</v>
      </c>
      <c r="S178" s="112">
        <f t="shared" si="58"/>
        <v>5749881.0810810803</v>
      </c>
    </row>
    <row r="179" spans="1:19" s="19" customFormat="1">
      <c r="A179" s="18" t="s">
        <v>128</v>
      </c>
      <c r="B179" s="19" t="s">
        <v>25</v>
      </c>
      <c r="C179" s="20">
        <v>245</v>
      </c>
      <c r="D179" s="21" t="s">
        <v>40</v>
      </c>
      <c r="E179" s="26">
        <v>18</v>
      </c>
      <c r="F179" s="22">
        <v>1</v>
      </c>
      <c r="G179" s="23" t="s">
        <v>20</v>
      </c>
      <c r="H179" s="22">
        <v>36</v>
      </c>
      <c r="I179" s="23" t="s">
        <v>40</v>
      </c>
      <c r="J179" s="24">
        <f>2052000/36</f>
        <v>57000</v>
      </c>
      <c r="K179" s="21" t="s">
        <v>40</v>
      </c>
      <c r="L179" s="25"/>
      <c r="M179" s="25">
        <v>0.17</v>
      </c>
      <c r="N179" s="22"/>
      <c r="O179" s="23" t="s">
        <v>40</v>
      </c>
      <c r="P179" s="20">
        <f t="shared" si="75"/>
        <v>893</v>
      </c>
      <c r="Q179" s="23" t="s">
        <v>40</v>
      </c>
      <c r="R179" s="24">
        <f t="shared" si="76"/>
        <v>42247830</v>
      </c>
      <c r="S179" s="24">
        <f t="shared" si="58"/>
        <v>38061108.108108103</v>
      </c>
    </row>
    <row r="180" spans="1:19" s="19" customFormat="1">
      <c r="A180" s="18" t="s">
        <v>129</v>
      </c>
      <c r="B180" s="19" t="s">
        <v>25</v>
      </c>
      <c r="C180" s="20"/>
      <c r="D180" s="21" t="s">
        <v>40</v>
      </c>
      <c r="E180" s="26">
        <v>9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f>2170800/36</f>
        <v>60300</v>
      </c>
      <c r="K180" s="21" t="s">
        <v>40</v>
      </c>
      <c r="L180" s="25"/>
      <c r="M180" s="25">
        <v>0.17</v>
      </c>
      <c r="N180" s="22"/>
      <c r="O180" s="23" t="s">
        <v>40</v>
      </c>
      <c r="P180" s="20">
        <f t="shared" si="75"/>
        <v>324</v>
      </c>
      <c r="Q180" s="23" t="s">
        <v>40</v>
      </c>
      <c r="R180" s="24">
        <f t="shared" si="76"/>
        <v>16215876</v>
      </c>
      <c r="S180" s="24">
        <f t="shared" si="58"/>
        <v>14608897.297297295</v>
      </c>
    </row>
    <row r="181" spans="1:19" s="19" customFormat="1">
      <c r="A181" s="18"/>
      <c r="C181" s="20"/>
      <c r="D181" s="21"/>
      <c r="E181" s="26"/>
      <c r="F181" s="22"/>
      <c r="G181" s="23"/>
      <c r="H181" s="22"/>
      <c r="I181" s="23"/>
      <c r="J181" s="24"/>
      <c r="K181" s="21"/>
      <c r="L181" s="25"/>
      <c r="M181" s="25"/>
      <c r="N181" s="22"/>
      <c r="O181" s="23"/>
      <c r="P181" s="20"/>
      <c r="Q181" s="23"/>
      <c r="R181" s="24"/>
      <c r="S181" s="24"/>
    </row>
    <row r="182" spans="1:19" s="19" customFormat="1">
      <c r="A182" s="71" t="s">
        <v>130</v>
      </c>
      <c r="C182" s="20"/>
      <c r="D182" s="21"/>
      <c r="E182" s="26"/>
      <c r="F182" s="22"/>
      <c r="G182" s="23"/>
      <c r="H182" s="22"/>
      <c r="I182" s="23"/>
      <c r="J182" s="24"/>
      <c r="K182" s="21"/>
      <c r="L182" s="25"/>
      <c r="M182" s="25"/>
      <c r="N182" s="22"/>
      <c r="O182" s="23"/>
      <c r="P182" s="20"/>
      <c r="Q182" s="23"/>
      <c r="R182" s="24"/>
      <c r="S182" s="24"/>
    </row>
    <row r="183" spans="1:19" s="19" customFormat="1">
      <c r="A183" s="18" t="s">
        <v>131</v>
      </c>
      <c r="B183" s="19" t="s">
        <v>18</v>
      </c>
      <c r="C183" s="20"/>
      <c r="D183" s="21" t="s">
        <v>40</v>
      </c>
      <c r="E183" s="26">
        <v>13</v>
      </c>
      <c r="F183" s="22">
        <v>1</v>
      </c>
      <c r="G183" s="23" t="s">
        <v>20</v>
      </c>
      <c r="H183" s="22">
        <v>60</v>
      </c>
      <c r="I183" s="23" t="s">
        <v>40</v>
      </c>
      <c r="J183" s="24">
        <f>4600*12</f>
        <v>55200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ref="P183:P201" si="77">(C183+(E183*F183*H183))-N183</f>
        <v>780</v>
      </c>
      <c r="Q183" s="23" t="s">
        <v>40</v>
      </c>
      <c r="R183" s="24">
        <f t="shared" ref="R183:R201" si="78">P183*(J183-(J183*L183)-((J183-(J183*L183))*M183))</f>
        <v>35790300</v>
      </c>
      <c r="S183" s="24">
        <f t="shared" si="58"/>
        <v>32243513.513513509</v>
      </c>
    </row>
    <row r="184" spans="1:19" s="89" customFormat="1">
      <c r="A184" s="88" t="s">
        <v>132</v>
      </c>
      <c r="B184" s="89" t="s">
        <v>18</v>
      </c>
      <c r="C184" s="87"/>
      <c r="D184" s="90" t="s">
        <v>40</v>
      </c>
      <c r="E184" s="91">
        <v>7</v>
      </c>
      <c r="F184" s="92">
        <v>1</v>
      </c>
      <c r="G184" s="93" t="s">
        <v>20</v>
      </c>
      <c r="H184" s="92">
        <v>60</v>
      </c>
      <c r="I184" s="93" t="s">
        <v>40</v>
      </c>
      <c r="J184" s="94">
        <f>4500*12</f>
        <v>54000</v>
      </c>
      <c r="K184" s="90" t="s">
        <v>40</v>
      </c>
      <c r="L184" s="95">
        <v>0.125</v>
      </c>
      <c r="M184" s="95">
        <v>0.05</v>
      </c>
      <c r="N184" s="92"/>
      <c r="O184" s="93" t="s">
        <v>40</v>
      </c>
      <c r="P184" s="87">
        <f t="shared" si="77"/>
        <v>420</v>
      </c>
      <c r="Q184" s="93" t="s">
        <v>40</v>
      </c>
      <c r="R184" s="94">
        <f t="shared" si="78"/>
        <v>18852750</v>
      </c>
      <c r="S184" s="94">
        <f t="shared" si="58"/>
        <v>16984459.459459458</v>
      </c>
    </row>
    <row r="185" spans="1:19" s="89" customFormat="1">
      <c r="A185" s="88" t="s">
        <v>694</v>
      </c>
      <c r="B185" s="89" t="s">
        <v>18</v>
      </c>
      <c r="C185" s="87"/>
      <c r="D185" s="90" t="s">
        <v>40</v>
      </c>
      <c r="E185" s="91"/>
      <c r="F185" s="92">
        <v>1</v>
      </c>
      <c r="G185" s="93" t="s">
        <v>20</v>
      </c>
      <c r="H185" s="92">
        <v>60</v>
      </c>
      <c r="I185" s="93" t="s">
        <v>40</v>
      </c>
      <c r="J185" s="94">
        <f>4500*12</f>
        <v>54000</v>
      </c>
      <c r="K185" s="90" t="s">
        <v>40</v>
      </c>
      <c r="L185" s="95">
        <v>0.125</v>
      </c>
      <c r="M185" s="95">
        <v>0.05</v>
      </c>
      <c r="N185" s="92"/>
      <c r="O185" s="93" t="s">
        <v>40</v>
      </c>
      <c r="P185" s="87">
        <f t="shared" si="77"/>
        <v>0</v>
      </c>
      <c r="Q185" s="93" t="s">
        <v>40</v>
      </c>
      <c r="R185" s="94">
        <f t="shared" si="78"/>
        <v>0</v>
      </c>
      <c r="S185" s="94">
        <f t="shared" si="58"/>
        <v>0</v>
      </c>
    </row>
    <row r="186" spans="1:19" s="19" customFormat="1">
      <c r="A186" s="18" t="s">
        <v>133</v>
      </c>
      <c r="B186" s="19" t="s">
        <v>18</v>
      </c>
      <c r="C186" s="20"/>
      <c r="D186" s="21" t="s">
        <v>40</v>
      </c>
      <c r="E186" s="26">
        <v>1</v>
      </c>
      <c r="F186" s="22">
        <v>1</v>
      </c>
      <c r="G186" s="23" t="s">
        <v>20</v>
      </c>
      <c r="H186" s="22">
        <v>30</v>
      </c>
      <c r="I186" s="23" t="s">
        <v>40</v>
      </c>
      <c r="J186" s="24">
        <v>69600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ref="P186" si="79">(C186+(E186*F186*H186))-N186</f>
        <v>30</v>
      </c>
      <c r="Q186" s="23" t="s">
        <v>40</v>
      </c>
      <c r="R186" s="24">
        <f t="shared" ref="R186" si="80">P186*(J186-(J186*L186)-((J186-(J186*L186))*M186))</f>
        <v>1735650</v>
      </c>
      <c r="S186" s="24">
        <f t="shared" ref="S186" si="81">R186/1.11</f>
        <v>1563648.6486486485</v>
      </c>
    </row>
    <row r="187" spans="1:19" s="19" customFormat="1">
      <c r="A187" s="18" t="s">
        <v>719</v>
      </c>
      <c r="B187" s="19" t="s">
        <v>18</v>
      </c>
      <c r="C187" s="20"/>
      <c r="D187" s="21" t="s">
        <v>40</v>
      </c>
      <c r="E187" s="26">
        <v>3</v>
      </c>
      <c r="F187" s="22">
        <v>1</v>
      </c>
      <c r="G187" s="23" t="s">
        <v>20</v>
      </c>
      <c r="H187" s="22">
        <v>30</v>
      </c>
      <c r="I187" s="23" t="s">
        <v>40</v>
      </c>
      <c r="J187" s="24">
        <f>11000*12</f>
        <v>132000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ref="P187" si="82">(C187+(E187*F187*H187))-N187</f>
        <v>90</v>
      </c>
      <c r="Q187" s="23" t="s">
        <v>40</v>
      </c>
      <c r="R187" s="24">
        <f t="shared" ref="R187" si="83">P187*(J187-(J187*L187)-((J187-(J187*L187))*M187))</f>
        <v>9875250</v>
      </c>
      <c r="S187" s="24">
        <f t="shared" ref="S187" si="84">R187/1.11</f>
        <v>8896621.6216216199</v>
      </c>
    </row>
    <row r="188" spans="1:19" s="19" customFormat="1">
      <c r="A188" s="18" t="s">
        <v>134</v>
      </c>
      <c r="B188" s="19" t="s">
        <v>18</v>
      </c>
      <c r="C188" s="20">
        <v>3099</v>
      </c>
      <c r="D188" s="21" t="s">
        <v>40</v>
      </c>
      <c r="E188" s="26">
        <v>16</v>
      </c>
      <c r="F188" s="22">
        <v>1</v>
      </c>
      <c r="G188" s="23" t="s">
        <v>20</v>
      </c>
      <c r="H188" s="22">
        <v>60</v>
      </c>
      <c r="I188" s="23" t="s">
        <v>40</v>
      </c>
      <c r="J188" s="24">
        <f>4800*12</f>
        <v>57600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77"/>
        <v>4059</v>
      </c>
      <c r="Q188" s="23" t="s">
        <v>40</v>
      </c>
      <c r="R188" s="24">
        <f t="shared" si="78"/>
        <v>194344920</v>
      </c>
      <c r="S188" s="24">
        <f t="shared" si="58"/>
        <v>175085513.51351351</v>
      </c>
    </row>
    <row r="189" spans="1:19" s="106" customFormat="1">
      <c r="A189" s="98" t="s">
        <v>852</v>
      </c>
      <c r="B189" s="106" t="s">
        <v>18</v>
      </c>
      <c r="C189" s="107"/>
      <c r="D189" s="108" t="s">
        <v>103</v>
      </c>
      <c r="E189" s="109">
        <v>1</v>
      </c>
      <c r="F189" s="110">
        <v>24</v>
      </c>
      <c r="G189" s="111" t="s">
        <v>33</v>
      </c>
      <c r="H189" s="110">
        <v>12</v>
      </c>
      <c r="I189" s="111" t="s">
        <v>103</v>
      </c>
      <c r="J189" s="112">
        <v>9300</v>
      </c>
      <c r="K189" s="108" t="s">
        <v>103</v>
      </c>
      <c r="L189" s="113">
        <v>0.125</v>
      </c>
      <c r="M189" s="113">
        <v>0.05</v>
      </c>
      <c r="N189" s="110"/>
      <c r="O189" s="111" t="s">
        <v>103</v>
      </c>
      <c r="P189" s="107">
        <f t="shared" si="77"/>
        <v>288</v>
      </c>
      <c r="Q189" s="111" t="s">
        <v>103</v>
      </c>
      <c r="R189" s="112">
        <f t="shared" si="78"/>
        <v>2226420</v>
      </c>
      <c r="S189" s="112">
        <f t="shared" si="58"/>
        <v>2005783.7837837837</v>
      </c>
    </row>
    <row r="190" spans="1:19" s="89" customFormat="1">
      <c r="A190" s="88" t="s">
        <v>135</v>
      </c>
      <c r="B190" s="89" t="s">
        <v>18</v>
      </c>
      <c r="C190" s="87"/>
      <c r="D190" s="90" t="s">
        <v>40</v>
      </c>
      <c r="E190" s="91"/>
      <c r="F190" s="92">
        <v>1</v>
      </c>
      <c r="G190" s="93" t="s">
        <v>20</v>
      </c>
      <c r="H190" s="92">
        <v>60</v>
      </c>
      <c r="I190" s="93" t="s">
        <v>40</v>
      </c>
      <c r="J190" s="94">
        <f>5800*12</f>
        <v>69600</v>
      </c>
      <c r="K190" s="90" t="s">
        <v>40</v>
      </c>
      <c r="L190" s="95">
        <v>0.125</v>
      </c>
      <c r="M190" s="95">
        <v>0.05</v>
      </c>
      <c r="N190" s="92"/>
      <c r="O190" s="93" t="s">
        <v>40</v>
      </c>
      <c r="P190" s="87">
        <f t="shared" si="77"/>
        <v>0</v>
      </c>
      <c r="Q190" s="93" t="s">
        <v>40</v>
      </c>
      <c r="R190" s="94">
        <f t="shared" si="78"/>
        <v>0</v>
      </c>
      <c r="S190" s="94">
        <f t="shared" si="58"/>
        <v>0</v>
      </c>
    </row>
    <row r="191" spans="1:19" s="19" customFormat="1">
      <c r="A191" s="18" t="s">
        <v>136</v>
      </c>
      <c r="B191" s="19" t="s">
        <v>18</v>
      </c>
      <c r="C191" s="20">
        <v>40</v>
      </c>
      <c r="D191" s="21" t="s">
        <v>40</v>
      </c>
      <c r="E191" s="26">
        <v>7</v>
      </c>
      <c r="F191" s="22">
        <v>1</v>
      </c>
      <c r="G191" s="23" t="s">
        <v>20</v>
      </c>
      <c r="H191" s="22">
        <v>40</v>
      </c>
      <c r="I191" s="23" t="s">
        <v>40</v>
      </c>
      <c r="J191" s="24">
        <f>8500*12</f>
        <v>102000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77"/>
        <v>320</v>
      </c>
      <c r="Q191" s="23" t="s">
        <v>40</v>
      </c>
      <c r="R191" s="24">
        <f t="shared" si="78"/>
        <v>27132000</v>
      </c>
      <c r="S191" s="24">
        <f t="shared" si="58"/>
        <v>24443243.24324324</v>
      </c>
    </row>
    <row r="192" spans="1:19" s="89" customFormat="1">
      <c r="A192" s="88" t="s">
        <v>853</v>
      </c>
      <c r="B192" s="89" t="s">
        <v>18</v>
      </c>
      <c r="C192" s="87"/>
      <c r="D192" s="90" t="s">
        <v>40</v>
      </c>
      <c r="E192" s="91"/>
      <c r="F192" s="92">
        <v>1</v>
      </c>
      <c r="G192" s="93" t="s">
        <v>20</v>
      </c>
      <c r="H192" s="92">
        <v>60</v>
      </c>
      <c r="I192" s="93" t="s">
        <v>40</v>
      </c>
      <c r="J192" s="94">
        <f>4000*12</f>
        <v>48000</v>
      </c>
      <c r="K192" s="90" t="s">
        <v>40</v>
      </c>
      <c r="L192" s="95">
        <v>0.125</v>
      </c>
      <c r="M192" s="95">
        <v>0.05</v>
      </c>
      <c r="N192" s="92"/>
      <c r="O192" s="93" t="s">
        <v>40</v>
      </c>
      <c r="P192" s="87">
        <f t="shared" si="77"/>
        <v>0</v>
      </c>
      <c r="Q192" s="93" t="s">
        <v>40</v>
      </c>
      <c r="R192" s="94">
        <f t="shared" si="78"/>
        <v>0</v>
      </c>
      <c r="S192" s="16">
        <f t="shared" si="58"/>
        <v>0</v>
      </c>
    </row>
    <row r="193" spans="1:19" s="106" customFormat="1">
      <c r="A193" s="98" t="s">
        <v>854</v>
      </c>
      <c r="B193" s="106" t="s">
        <v>18</v>
      </c>
      <c r="C193" s="107">
        <v>31</v>
      </c>
      <c r="D193" s="108" t="s">
        <v>40</v>
      </c>
      <c r="E193" s="109"/>
      <c r="F193" s="110">
        <v>1</v>
      </c>
      <c r="G193" s="111" t="s">
        <v>20</v>
      </c>
      <c r="H193" s="110">
        <v>40</v>
      </c>
      <c r="I193" s="111" t="s">
        <v>40</v>
      </c>
      <c r="J193" s="112">
        <f>5700*12</f>
        <v>68400</v>
      </c>
      <c r="K193" s="108" t="s">
        <v>40</v>
      </c>
      <c r="L193" s="113">
        <v>0.125</v>
      </c>
      <c r="M193" s="113">
        <v>0.05</v>
      </c>
      <c r="N193" s="110"/>
      <c r="O193" s="111" t="s">
        <v>40</v>
      </c>
      <c r="P193" s="107">
        <f t="shared" si="77"/>
        <v>31</v>
      </c>
      <c r="Q193" s="111" t="s">
        <v>40</v>
      </c>
      <c r="R193" s="112">
        <f t="shared" si="78"/>
        <v>1762582.5</v>
      </c>
      <c r="S193" s="104">
        <f t="shared" si="58"/>
        <v>1587912.1621621621</v>
      </c>
    </row>
    <row r="194" spans="1:19" s="19" customFormat="1">
      <c r="A194" s="18" t="s">
        <v>792</v>
      </c>
      <c r="B194" s="19" t="s">
        <v>18</v>
      </c>
      <c r="C194" s="20">
        <v>31</v>
      </c>
      <c r="D194" s="21" t="s">
        <v>40</v>
      </c>
      <c r="E194" s="26"/>
      <c r="F194" s="22">
        <v>1</v>
      </c>
      <c r="G194" s="23" t="s">
        <v>20</v>
      </c>
      <c r="H194" s="22">
        <v>40</v>
      </c>
      <c r="I194" s="23" t="s">
        <v>40</v>
      </c>
      <c r="J194" s="24">
        <f>5800*12</f>
        <v>69600</v>
      </c>
      <c r="K194" s="21" t="s">
        <v>40</v>
      </c>
      <c r="L194" s="25">
        <v>0.125</v>
      </c>
      <c r="M194" s="25">
        <v>0.05</v>
      </c>
      <c r="N194" s="22"/>
      <c r="O194" s="23" t="s">
        <v>40</v>
      </c>
      <c r="P194" s="20">
        <f t="shared" si="77"/>
        <v>31</v>
      </c>
      <c r="Q194" s="23" t="s">
        <v>40</v>
      </c>
      <c r="R194" s="24">
        <f t="shared" si="78"/>
        <v>1793505</v>
      </c>
      <c r="S194" s="24">
        <f t="shared" si="58"/>
        <v>1615770.2702702701</v>
      </c>
    </row>
    <row r="195" spans="1:19" s="106" customFormat="1">
      <c r="A195" s="98" t="s">
        <v>855</v>
      </c>
      <c r="B195" s="106" t="s">
        <v>18</v>
      </c>
      <c r="C195" s="107"/>
      <c r="D195" s="108" t="s">
        <v>40</v>
      </c>
      <c r="E195" s="109">
        <v>2</v>
      </c>
      <c r="F195" s="110">
        <v>1</v>
      </c>
      <c r="G195" s="111" t="s">
        <v>20</v>
      </c>
      <c r="H195" s="110">
        <v>40</v>
      </c>
      <c r="I195" s="111" t="s">
        <v>40</v>
      </c>
      <c r="J195" s="112">
        <f>10800*12</f>
        <v>129600</v>
      </c>
      <c r="K195" s="108" t="s">
        <v>40</v>
      </c>
      <c r="L195" s="113">
        <v>0.125</v>
      </c>
      <c r="M195" s="113">
        <v>0.05</v>
      </c>
      <c r="N195" s="110"/>
      <c r="O195" s="111" t="s">
        <v>40</v>
      </c>
      <c r="P195" s="107">
        <f t="shared" si="77"/>
        <v>80</v>
      </c>
      <c r="Q195" s="111" t="s">
        <v>40</v>
      </c>
      <c r="R195" s="112">
        <f t="shared" si="78"/>
        <v>8618400</v>
      </c>
      <c r="S195" s="104">
        <f t="shared" si="58"/>
        <v>7764324.3243243238</v>
      </c>
    </row>
    <row r="196" spans="1:19" s="89" customFormat="1">
      <c r="A196" s="88" t="s">
        <v>137</v>
      </c>
      <c r="B196" s="89" t="s">
        <v>18</v>
      </c>
      <c r="C196" s="87"/>
      <c r="D196" s="90" t="s">
        <v>40</v>
      </c>
      <c r="E196" s="91"/>
      <c r="F196" s="92">
        <v>1</v>
      </c>
      <c r="G196" s="93" t="s">
        <v>20</v>
      </c>
      <c r="H196" s="92">
        <v>40</v>
      </c>
      <c r="I196" s="93" t="s">
        <v>40</v>
      </c>
      <c r="J196" s="94">
        <f>8800*12</f>
        <v>105600</v>
      </c>
      <c r="K196" s="90" t="s">
        <v>40</v>
      </c>
      <c r="L196" s="95">
        <v>0.125</v>
      </c>
      <c r="M196" s="95">
        <v>0.05</v>
      </c>
      <c r="N196" s="92"/>
      <c r="O196" s="93" t="s">
        <v>40</v>
      </c>
      <c r="P196" s="87">
        <f t="shared" si="77"/>
        <v>0</v>
      </c>
      <c r="Q196" s="93" t="s">
        <v>40</v>
      </c>
      <c r="R196" s="94">
        <f t="shared" si="78"/>
        <v>0</v>
      </c>
      <c r="S196" s="94">
        <f t="shared" si="58"/>
        <v>0</v>
      </c>
    </row>
    <row r="197" spans="1:19" s="19" customFormat="1">
      <c r="A197" s="18" t="s">
        <v>816</v>
      </c>
      <c r="B197" s="19" t="s">
        <v>18</v>
      </c>
      <c r="C197" s="20"/>
      <c r="D197" s="21" t="s">
        <v>40</v>
      </c>
      <c r="E197" s="26">
        <v>1</v>
      </c>
      <c r="F197" s="22">
        <v>1</v>
      </c>
      <c r="G197" s="23" t="s">
        <v>20</v>
      </c>
      <c r="H197" s="22">
        <v>40</v>
      </c>
      <c r="I197" s="23" t="s">
        <v>40</v>
      </c>
      <c r="J197" s="24">
        <f>10000*12</f>
        <v>120000</v>
      </c>
      <c r="K197" s="21" t="s">
        <v>40</v>
      </c>
      <c r="L197" s="25">
        <v>0.125</v>
      </c>
      <c r="M197" s="25">
        <v>0.05</v>
      </c>
      <c r="N197" s="22"/>
      <c r="O197" s="23" t="s">
        <v>40</v>
      </c>
      <c r="P197" s="20">
        <f t="shared" si="77"/>
        <v>40</v>
      </c>
      <c r="Q197" s="23" t="s">
        <v>40</v>
      </c>
      <c r="R197" s="24">
        <f t="shared" si="78"/>
        <v>3990000</v>
      </c>
      <c r="S197" s="24">
        <f t="shared" si="58"/>
        <v>3594594.5945945941</v>
      </c>
    </row>
    <row r="198" spans="1:19" s="19" customFormat="1">
      <c r="A198" s="18" t="s">
        <v>906</v>
      </c>
      <c r="B198" s="19" t="s">
        <v>18</v>
      </c>
      <c r="C198" s="20"/>
      <c r="D198" s="21" t="s">
        <v>40</v>
      </c>
      <c r="E198" s="26">
        <v>1</v>
      </c>
      <c r="F198" s="22">
        <v>1</v>
      </c>
      <c r="G198" s="23" t="s">
        <v>20</v>
      </c>
      <c r="H198" s="22">
        <v>36</v>
      </c>
      <c r="I198" s="23" t="s">
        <v>40</v>
      </c>
      <c r="J198" s="24">
        <v>34800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" si="85">(C198+(E198*F198*H198))-N198</f>
        <v>36</v>
      </c>
      <c r="Q198" s="23" t="s">
        <v>40</v>
      </c>
      <c r="R198" s="24">
        <f t="shared" ref="R198" si="86">P198*(J198-(J198*L198)-((J198-(J198*L198))*M198))</f>
        <v>1041390</v>
      </c>
      <c r="S198" s="24">
        <f t="shared" ref="S198" si="87">R198/1.11</f>
        <v>938189.18918918911</v>
      </c>
    </row>
    <row r="199" spans="1:19" s="106" customFormat="1">
      <c r="A199" s="98" t="s">
        <v>880</v>
      </c>
      <c r="B199" s="106" t="s">
        <v>18</v>
      </c>
      <c r="C199" s="107"/>
      <c r="D199" s="108" t="s">
        <v>40</v>
      </c>
      <c r="E199" s="109">
        <v>6</v>
      </c>
      <c r="F199" s="110">
        <v>1</v>
      </c>
      <c r="G199" s="111" t="s">
        <v>20</v>
      </c>
      <c r="H199" s="110">
        <f>360/12</f>
        <v>30</v>
      </c>
      <c r="I199" s="111" t="s">
        <v>40</v>
      </c>
      <c r="J199" s="112">
        <f>5400*12</f>
        <v>64800</v>
      </c>
      <c r="K199" s="108" t="s">
        <v>40</v>
      </c>
      <c r="L199" s="113">
        <v>0.125</v>
      </c>
      <c r="M199" s="113">
        <v>0.05</v>
      </c>
      <c r="N199" s="110"/>
      <c r="O199" s="111" t="s">
        <v>40</v>
      </c>
      <c r="P199" s="20">
        <f t="shared" ref="P199" si="88">(C199+(E199*F199*H199))-N199</f>
        <v>180</v>
      </c>
      <c r="Q199" s="23" t="s">
        <v>40</v>
      </c>
      <c r="R199" s="24">
        <f t="shared" ref="R199" si="89">P199*(J199-(J199*L199)-((J199-(J199*L199))*M199))</f>
        <v>9695700</v>
      </c>
      <c r="S199" s="24">
        <f t="shared" ref="S199" si="90">R199/1.11</f>
        <v>8734864.8648648635</v>
      </c>
    </row>
    <row r="200" spans="1:19" s="89" customFormat="1">
      <c r="A200" s="88" t="s">
        <v>793</v>
      </c>
      <c r="B200" s="89" t="s">
        <v>18</v>
      </c>
      <c r="C200" s="87"/>
      <c r="D200" s="90" t="s">
        <v>40</v>
      </c>
      <c r="E200" s="91"/>
      <c r="F200" s="92">
        <v>1</v>
      </c>
      <c r="G200" s="93" t="s">
        <v>20</v>
      </c>
      <c r="H200" s="92">
        <f>360/12</f>
        <v>30</v>
      </c>
      <c r="I200" s="93" t="s">
        <v>40</v>
      </c>
      <c r="J200" s="94">
        <f>4800*12</f>
        <v>57600</v>
      </c>
      <c r="K200" s="90" t="s">
        <v>40</v>
      </c>
      <c r="L200" s="95">
        <v>0.125</v>
      </c>
      <c r="M200" s="95">
        <v>0.05</v>
      </c>
      <c r="N200" s="92"/>
      <c r="O200" s="93" t="s">
        <v>40</v>
      </c>
      <c r="P200" s="87">
        <f t="shared" si="77"/>
        <v>0</v>
      </c>
      <c r="Q200" s="93" t="s">
        <v>40</v>
      </c>
      <c r="R200" s="94">
        <f t="shared" si="78"/>
        <v>0</v>
      </c>
      <c r="S200" s="94">
        <f t="shared" si="58"/>
        <v>0</v>
      </c>
    </row>
    <row r="201" spans="1:19" s="19" customFormat="1">
      <c r="A201" s="18" t="s">
        <v>794</v>
      </c>
      <c r="B201" s="19" t="s">
        <v>18</v>
      </c>
      <c r="C201" s="20">
        <v>3540</v>
      </c>
      <c r="D201" s="21" t="s">
        <v>40</v>
      </c>
      <c r="E201" s="26"/>
      <c r="F201" s="22">
        <v>1</v>
      </c>
      <c r="G201" s="23" t="s">
        <v>20</v>
      </c>
      <c r="H201" s="22">
        <f>360/12</f>
        <v>30</v>
      </c>
      <c r="I201" s="23" t="s">
        <v>40</v>
      </c>
      <c r="J201" s="24">
        <f>6000*12</f>
        <v>72000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si="77"/>
        <v>3540</v>
      </c>
      <c r="Q201" s="23" t="s">
        <v>40</v>
      </c>
      <c r="R201" s="24">
        <f t="shared" si="78"/>
        <v>211869000</v>
      </c>
      <c r="S201" s="24">
        <f t="shared" si="58"/>
        <v>190872972.97297296</v>
      </c>
    </row>
    <row r="202" spans="1:19" s="19" customFormat="1">
      <c r="A202" s="18"/>
      <c r="C202" s="20"/>
      <c r="D202" s="21"/>
      <c r="E202" s="26"/>
      <c r="F202" s="22"/>
      <c r="G202" s="23"/>
      <c r="H202" s="22"/>
      <c r="I202" s="23"/>
      <c r="J202" s="24"/>
      <c r="K202" s="21"/>
      <c r="L202" s="25"/>
      <c r="M202" s="25"/>
      <c r="N202" s="22"/>
      <c r="O202" s="23"/>
      <c r="P202" s="20"/>
      <c r="Q202" s="23"/>
      <c r="R202" s="24"/>
      <c r="S202" s="24"/>
    </row>
    <row r="203" spans="1:19" s="89" customFormat="1">
      <c r="A203" s="88" t="s">
        <v>138</v>
      </c>
      <c r="B203" s="89" t="s">
        <v>25</v>
      </c>
      <c r="C203" s="87"/>
      <c r="D203" s="90" t="s">
        <v>40</v>
      </c>
      <c r="E203" s="91"/>
      <c r="F203" s="92">
        <v>1</v>
      </c>
      <c r="G203" s="93" t="s">
        <v>20</v>
      </c>
      <c r="H203" s="92">
        <v>36</v>
      </c>
      <c r="I203" s="93" t="s">
        <v>40</v>
      </c>
      <c r="J203" s="94">
        <f>2095200/36</f>
        <v>58200</v>
      </c>
      <c r="K203" s="90" t="s">
        <v>40</v>
      </c>
      <c r="L203" s="95"/>
      <c r="M203" s="95">
        <v>0.17</v>
      </c>
      <c r="N203" s="92"/>
      <c r="O203" s="93" t="s">
        <v>40</v>
      </c>
      <c r="P203" s="87">
        <f t="shared" ref="P203:P228" si="91">(C203+(E203*F203*H203))-N203</f>
        <v>0</v>
      </c>
      <c r="Q203" s="93" t="s">
        <v>40</v>
      </c>
      <c r="R203" s="94">
        <f t="shared" ref="R203:R228" si="92">P203*(J203-(J203*L203)-((J203-(J203*L203))*M203))</f>
        <v>0</v>
      </c>
      <c r="S203" s="94">
        <f t="shared" si="58"/>
        <v>0</v>
      </c>
    </row>
    <row r="204" spans="1:19" s="19" customFormat="1">
      <c r="A204" s="18" t="s">
        <v>751</v>
      </c>
      <c r="B204" s="19" t="s">
        <v>25</v>
      </c>
      <c r="C204" s="20">
        <v>30</v>
      </c>
      <c r="D204" s="21" t="s">
        <v>40</v>
      </c>
      <c r="E204" s="26"/>
      <c r="F204" s="22">
        <v>1</v>
      </c>
      <c r="G204" s="23" t="s">
        <v>20</v>
      </c>
      <c r="H204" s="22">
        <v>36</v>
      </c>
      <c r="I204" s="23" t="s">
        <v>40</v>
      </c>
      <c r="J204" s="24">
        <f>2116800/36</f>
        <v>58800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91"/>
        <v>30</v>
      </c>
      <c r="Q204" s="23" t="s">
        <v>40</v>
      </c>
      <c r="R204" s="24">
        <f t="shared" si="92"/>
        <v>1464120</v>
      </c>
      <c r="S204" s="24">
        <f t="shared" si="58"/>
        <v>1319027.027027027</v>
      </c>
    </row>
    <row r="205" spans="1:19" s="89" customFormat="1">
      <c r="A205" s="88" t="s">
        <v>139</v>
      </c>
      <c r="B205" s="89" t="s">
        <v>25</v>
      </c>
      <c r="C205" s="87"/>
      <c r="D205" s="90" t="s">
        <v>40</v>
      </c>
      <c r="E205" s="91"/>
      <c r="F205" s="92">
        <v>1</v>
      </c>
      <c r="G205" s="93" t="s">
        <v>20</v>
      </c>
      <c r="H205" s="92">
        <v>48</v>
      </c>
      <c r="I205" s="93" t="s">
        <v>40</v>
      </c>
      <c r="J205" s="94">
        <f>2995200/48</f>
        <v>62400</v>
      </c>
      <c r="K205" s="90" t="s">
        <v>40</v>
      </c>
      <c r="L205" s="95"/>
      <c r="M205" s="95">
        <v>0.17</v>
      </c>
      <c r="N205" s="92"/>
      <c r="O205" s="93" t="s">
        <v>40</v>
      </c>
      <c r="P205" s="87">
        <f t="shared" si="91"/>
        <v>0</v>
      </c>
      <c r="Q205" s="93" t="s">
        <v>40</v>
      </c>
      <c r="R205" s="94">
        <f t="shared" si="92"/>
        <v>0</v>
      </c>
      <c r="S205" s="94">
        <f t="shared" si="58"/>
        <v>0</v>
      </c>
    </row>
    <row r="206" spans="1:19" s="19" customFormat="1">
      <c r="A206" s="18" t="s">
        <v>140</v>
      </c>
      <c r="B206" s="19" t="s">
        <v>25</v>
      </c>
      <c r="C206" s="20">
        <v>227</v>
      </c>
      <c r="D206" s="21" t="s">
        <v>40</v>
      </c>
      <c r="E206" s="26"/>
      <c r="F206" s="22">
        <v>1</v>
      </c>
      <c r="G206" s="23" t="s">
        <v>20</v>
      </c>
      <c r="H206" s="22">
        <v>48</v>
      </c>
      <c r="I206" s="23" t="s">
        <v>40</v>
      </c>
      <c r="J206" s="24">
        <f>3916800/48</f>
        <v>81600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91"/>
        <v>227</v>
      </c>
      <c r="Q206" s="23" t="s">
        <v>40</v>
      </c>
      <c r="R206" s="24">
        <f t="shared" si="92"/>
        <v>15374256</v>
      </c>
      <c r="S206" s="24">
        <f t="shared" si="58"/>
        <v>13850681.081081079</v>
      </c>
    </row>
    <row r="207" spans="1:19" s="19" customFormat="1">
      <c r="A207" s="18" t="s">
        <v>750</v>
      </c>
      <c r="B207" s="19" t="s">
        <v>25</v>
      </c>
      <c r="C207" s="20">
        <v>98</v>
      </c>
      <c r="D207" s="21" t="s">
        <v>40</v>
      </c>
      <c r="E207" s="26"/>
      <c r="F207" s="22">
        <v>1</v>
      </c>
      <c r="G207" s="23" t="s">
        <v>20</v>
      </c>
      <c r="H207" s="22">
        <v>48</v>
      </c>
      <c r="I207" s="23" t="s">
        <v>40</v>
      </c>
      <c r="J207" s="24">
        <f>4032000/48</f>
        <v>84000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 t="shared" si="91"/>
        <v>98</v>
      </c>
      <c r="Q207" s="23" t="s">
        <v>40</v>
      </c>
      <c r="R207" s="24">
        <f t="shared" si="92"/>
        <v>6832560</v>
      </c>
      <c r="S207" s="24">
        <f t="shared" si="58"/>
        <v>6155459.4594594585</v>
      </c>
    </row>
    <row r="208" spans="1:19" s="89" customFormat="1">
      <c r="A208" s="88" t="s">
        <v>141</v>
      </c>
      <c r="B208" s="89" t="s">
        <v>25</v>
      </c>
      <c r="C208" s="87"/>
      <c r="D208" s="90" t="s">
        <v>40</v>
      </c>
      <c r="E208" s="91"/>
      <c r="F208" s="92">
        <v>1</v>
      </c>
      <c r="G208" s="93" t="s">
        <v>20</v>
      </c>
      <c r="H208" s="92">
        <v>48</v>
      </c>
      <c r="I208" s="93" t="s">
        <v>40</v>
      </c>
      <c r="J208" s="94">
        <f>5100*12</f>
        <v>61200</v>
      </c>
      <c r="K208" s="90" t="s">
        <v>40</v>
      </c>
      <c r="L208" s="95"/>
      <c r="M208" s="95">
        <v>0.17</v>
      </c>
      <c r="N208" s="92"/>
      <c r="O208" s="93" t="s">
        <v>40</v>
      </c>
      <c r="P208" s="87">
        <f t="shared" si="91"/>
        <v>0</v>
      </c>
      <c r="Q208" s="93" t="s">
        <v>40</v>
      </c>
      <c r="R208" s="94">
        <f t="shared" si="92"/>
        <v>0</v>
      </c>
      <c r="S208" s="94">
        <f t="shared" si="58"/>
        <v>0</v>
      </c>
    </row>
    <row r="209" spans="1:20" s="19" customFormat="1">
      <c r="A209" s="164" t="s">
        <v>907</v>
      </c>
      <c r="B209" s="19" t="s">
        <v>25</v>
      </c>
      <c r="C209" s="20"/>
      <c r="D209" s="21" t="s">
        <v>40</v>
      </c>
      <c r="E209" s="26">
        <v>3</v>
      </c>
      <c r="F209" s="22">
        <v>1</v>
      </c>
      <c r="G209" s="23" t="s">
        <v>20</v>
      </c>
      <c r="H209" s="22">
        <v>48</v>
      </c>
      <c r="I209" s="23" t="s">
        <v>40</v>
      </c>
      <c r="J209" s="24">
        <v>58800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>(C209+(E209*F209*H209))-N209</f>
        <v>144</v>
      </c>
      <c r="Q209" s="23" t="s">
        <v>40</v>
      </c>
      <c r="R209" s="24">
        <f>P209*(J209-(J209*L209)-((J209-(J209*L209))*M209))</f>
        <v>7027776</v>
      </c>
      <c r="S209" s="24">
        <f>R209/1.11</f>
        <v>6331329.7297297288</v>
      </c>
    </row>
    <row r="210" spans="1:20" s="19" customFormat="1">
      <c r="A210" s="164" t="s">
        <v>908</v>
      </c>
      <c r="B210" s="19" t="s">
        <v>25</v>
      </c>
      <c r="C210" s="20"/>
      <c r="D210" s="21" t="s">
        <v>40</v>
      </c>
      <c r="E210" s="26">
        <v>4</v>
      </c>
      <c r="F210" s="22">
        <v>1</v>
      </c>
      <c r="G210" s="23" t="s">
        <v>20</v>
      </c>
      <c r="H210" s="22">
        <v>48</v>
      </c>
      <c r="I210" s="23" t="s">
        <v>40</v>
      </c>
      <c r="J210" s="24">
        <v>50400</v>
      </c>
      <c r="K210" s="21" t="s">
        <v>40</v>
      </c>
      <c r="L210" s="25"/>
      <c r="M210" s="25">
        <v>0.17</v>
      </c>
      <c r="N210" s="22"/>
      <c r="O210" s="23" t="s">
        <v>40</v>
      </c>
      <c r="P210" s="20">
        <f>(C210+(E210*F210*H210))-N210</f>
        <v>192</v>
      </c>
      <c r="Q210" s="23" t="s">
        <v>40</v>
      </c>
      <c r="R210" s="24">
        <f>P210*(J210-(J210*L210)-((J210-(J210*L210))*M210))</f>
        <v>8031744</v>
      </c>
      <c r="S210" s="24">
        <f>R210/1.11</f>
        <v>7235805.405405405</v>
      </c>
    </row>
    <row r="211" spans="1:20" s="19" customFormat="1">
      <c r="A211" s="18" t="s">
        <v>856</v>
      </c>
      <c r="B211" s="19" t="s">
        <v>25</v>
      </c>
      <c r="C211" s="20">
        <v>128</v>
      </c>
      <c r="D211" s="21" t="s">
        <v>40</v>
      </c>
      <c r="E211" s="26">
        <v>6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f>2592000/48</f>
        <v>54000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 t="shared" si="91"/>
        <v>416</v>
      </c>
      <c r="Q211" s="23" t="s">
        <v>40</v>
      </c>
      <c r="R211" s="24">
        <f t="shared" si="92"/>
        <v>18645120</v>
      </c>
      <c r="S211" s="24">
        <f t="shared" si="58"/>
        <v>16797405.405405402</v>
      </c>
    </row>
    <row r="212" spans="1:20" s="19" customFormat="1">
      <c r="A212" s="18" t="s">
        <v>142</v>
      </c>
      <c r="B212" s="19" t="s">
        <v>25</v>
      </c>
      <c r="C212" s="20">
        <v>66</v>
      </c>
      <c r="D212" s="21" t="s">
        <v>40</v>
      </c>
      <c r="E212" s="26">
        <v>3</v>
      </c>
      <c r="F212" s="22">
        <v>1</v>
      </c>
      <c r="G212" s="23" t="s">
        <v>20</v>
      </c>
      <c r="H212" s="22">
        <v>48</v>
      </c>
      <c r="I212" s="23" t="s">
        <v>40</v>
      </c>
      <c r="J212" s="24">
        <f>2448000/48</f>
        <v>51000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 t="shared" si="91"/>
        <v>210</v>
      </c>
      <c r="Q212" s="23" t="s">
        <v>40</v>
      </c>
      <c r="R212" s="24">
        <f t="shared" si="92"/>
        <v>8889300</v>
      </c>
      <c r="S212" s="24">
        <f t="shared" si="58"/>
        <v>8008378.3783783773</v>
      </c>
    </row>
    <row r="213" spans="1:20" s="106" customFormat="1">
      <c r="A213" s="115" t="s">
        <v>857</v>
      </c>
      <c r="B213" s="96" t="s">
        <v>25</v>
      </c>
      <c r="C213" s="99">
        <v>60</v>
      </c>
      <c r="D213" s="100" t="s">
        <v>40</v>
      </c>
      <c r="E213" s="101">
        <v>1</v>
      </c>
      <c r="F213" s="102">
        <v>1</v>
      </c>
      <c r="G213" s="103" t="s">
        <v>20</v>
      </c>
      <c r="H213" s="102">
        <v>48</v>
      </c>
      <c r="I213" s="103" t="s">
        <v>40</v>
      </c>
      <c r="J213" s="104">
        <f>2592000/48</f>
        <v>54000</v>
      </c>
      <c r="K213" s="100" t="s">
        <v>40</v>
      </c>
      <c r="L213" s="105"/>
      <c r="M213" s="105">
        <v>0.17</v>
      </c>
      <c r="N213" s="102"/>
      <c r="O213" s="103" t="s">
        <v>40</v>
      </c>
      <c r="P213" s="99">
        <f t="shared" si="91"/>
        <v>108</v>
      </c>
      <c r="Q213" s="103" t="s">
        <v>40</v>
      </c>
      <c r="R213" s="104">
        <f t="shared" si="92"/>
        <v>4840560</v>
      </c>
      <c r="S213" s="104">
        <f t="shared" ref="S213" si="93">R213/1.11</f>
        <v>4360864.8648648644</v>
      </c>
      <c r="T213" s="96"/>
    </row>
    <row r="214" spans="1:20" s="19" customFormat="1">
      <c r="A214" s="164" t="s">
        <v>909</v>
      </c>
      <c r="B214" s="19" t="s">
        <v>25</v>
      </c>
      <c r="C214" s="20"/>
      <c r="D214" s="21" t="s">
        <v>40</v>
      </c>
      <c r="E214" s="26">
        <v>3</v>
      </c>
      <c r="F214" s="22">
        <v>1</v>
      </c>
      <c r="G214" s="23" t="s">
        <v>20</v>
      </c>
      <c r="H214" s="22">
        <v>48</v>
      </c>
      <c r="I214" s="23" t="s">
        <v>40</v>
      </c>
      <c r="J214" s="24">
        <v>56400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ref="P214" si="94">(C214+(E214*F214*H214))-N214</f>
        <v>144</v>
      </c>
      <c r="Q214" s="23" t="s">
        <v>40</v>
      </c>
      <c r="R214" s="24">
        <f t="shared" ref="R214" si="95">P214*(J214-(J214*L214)-((J214-(J214*L214))*M214))</f>
        <v>6740928</v>
      </c>
      <c r="S214" s="24">
        <f t="shared" ref="S214" si="96">R214/1.11</f>
        <v>6072908.1081081079</v>
      </c>
    </row>
    <row r="215" spans="1:20" s="106" customFormat="1">
      <c r="A215" s="98" t="s">
        <v>890</v>
      </c>
      <c r="B215" s="106" t="s">
        <v>25</v>
      </c>
      <c r="C215" s="107"/>
      <c r="D215" s="108" t="s">
        <v>40</v>
      </c>
      <c r="E215" s="109">
        <v>3</v>
      </c>
      <c r="F215" s="110">
        <v>1</v>
      </c>
      <c r="G215" s="111" t="s">
        <v>20</v>
      </c>
      <c r="H215" s="110">
        <v>36</v>
      </c>
      <c r="I215" s="111" t="s">
        <v>40</v>
      </c>
      <c r="J215" s="112">
        <v>50400</v>
      </c>
      <c r="K215" s="108" t="s">
        <v>40</v>
      </c>
      <c r="L215" s="113"/>
      <c r="M215" s="113">
        <v>0.17</v>
      </c>
      <c r="N215" s="110"/>
      <c r="O215" s="111" t="s">
        <v>40</v>
      </c>
      <c r="P215" s="107">
        <f t="shared" ref="P215" si="97">(C215+(E215*F215*H215))-N215</f>
        <v>108</v>
      </c>
      <c r="Q215" s="111" t="s">
        <v>40</v>
      </c>
      <c r="R215" s="112">
        <f t="shared" ref="R215" si="98">P215*(J215-(J215*L215)-((J215-(J215*L215))*M215))</f>
        <v>4517856</v>
      </c>
      <c r="S215" s="112">
        <f t="shared" ref="S215" si="99">R215/1.11</f>
        <v>4070140.5405405401</v>
      </c>
    </row>
    <row r="216" spans="1:20" s="89" customFormat="1">
      <c r="A216" s="88" t="s">
        <v>143</v>
      </c>
      <c r="B216" s="89" t="s">
        <v>25</v>
      </c>
      <c r="C216" s="87"/>
      <c r="D216" s="90" t="s">
        <v>40</v>
      </c>
      <c r="E216" s="91"/>
      <c r="F216" s="92">
        <v>1</v>
      </c>
      <c r="G216" s="93" t="s">
        <v>20</v>
      </c>
      <c r="H216" s="92">
        <v>24</v>
      </c>
      <c r="I216" s="93" t="s">
        <v>40</v>
      </c>
      <c r="J216" s="94">
        <f>2491200/24</f>
        <v>103800</v>
      </c>
      <c r="K216" s="90" t="s">
        <v>40</v>
      </c>
      <c r="L216" s="95"/>
      <c r="M216" s="95">
        <v>0.17</v>
      </c>
      <c r="N216" s="92"/>
      <c r="O216" s="93" t="s">
        <v>40</v>
      </c>
      <c r="P216" s="87">
        <f t="shared" si="91"/>
        <v>0</v>
      </c>
      <c r="Q216" s="93" t="s">
        <v>40</v>
      </c>
      <c r="R216" s="94">
        <f t="shared" si="92"/>
        <v>0</v>
      </c>
      <c r="S216" s="94">
        <f t="shared" ref="S216:S316" si="100">R216/1.11</f>
        <v>0</v>
      </c>
    </row>
    <row r="217" spans="1:20" s="89" customFormat="1">
      <c r="A217" s="88" t="s">
        <v>144</v>
      </c>
      <c r="B217" s="89" t="s">
        <v>25</v>
      </c>
      <c r="C217" s="87"/>
      <c r="D217" s="90" t="s">
        <v>40</v>
      </c>
      <c r="E217" s="91"/>
      <c r="F217" s="92">
        <v>1</v>
      </c>
      <c r="G217" s="93" t="s">
        <v>20</v>
      </c>
      <c r="H217" s="92">
        <v>36</v>
      </c>
      <c r="I217" s="93" t="s">
        <v>40</v>
      </c>
      <c r="J217" s="94">
        <f>3736800/36</f>
        <v>103800</v>
      </c>
      <c r="K217" s="90" t="s">
        <v>40</v>
      </c>
      <c r="L217" s="95"/>
      <c r="M217" s="95">
        <v>0.17</v>
      </c>
      <c r="N217" s="92"/>
      <c r="O217" s="93" t="s">
        <v>40</v>
      </c>
      <c r="P217" s="87">
        <f t="shared" si="91"/>
        <v>0</v>
      </c>
      <c r="Q217" s="93" t="s">
        <v>40</v>
      </c>
      <c r="R217" s="94">
        <f t="shared" si="92"/>
        <v>0</v>
      </c>
      <c r="S217" s="94">
        <f t="shared" si="100"/>
        <v>0</v>
      </c>
    </row>
    <row r="218" spans="1:20" s="106" customFormat="1">
      <c r="A218" s="98" t="s">
        <v>145</v>
      </c>
      <c r="B218" s="106" t="s">
        <v>25</v>
      </c>
      <c r="C218" s="107"/>
      <c r="D218" s="108" t="s">
        <v>40</v>
      </c>
      <c r="E218" s="109">
        <v>1</v>
      </c>
      <c r="F218" s="110">
        <v>1</v>
      </c>
      <c r="G218" s="111" t="s">
        <v>20</v>
      </c>
      <c r="H218" s="110">
        <v>48</v>
      </c>
      <c r="I218" s="111" t="s">
        <v>40</v>
      </c>
      <c r="J218" s="112">
        <f>2592000/48</f>
        <v>54000</v>
      </c>
      <c r="K218" s="108" t="s">
        <v>40</v>
      </c>
      <c r="L218" s="113"/>
      <c r="M218" s="113">
        <v>0.17</v>
      </c>
      <c r="N218" s="110"/>
      <c r="O218" s="111" t="s">
        <v>40</v>
      </c>
      <c r="P218" s="107">
        <f t="shared" si="91"/>
        <v>48</v>
      </c>
      <c r="Q218" s="111" t="s">
        <v>40</v>
      </c>
      <c r="R218" s="112">
        <f t="shared" si="92"/>
        <v>2151360</v>
      </c>
      <c r="S218" s="112">
        <f t="shared" si="100"/>
        <v>1938162.1621621619</v>
      </c>
    </row>
    <row r="219" spans="1:20" s="19" customFormat="1">
      <c r="A219" s="18" t="s">
        <v>858</v>
      </c>
      <c r="B219" s="19" t="s">
        <v>25</v>
      </c>
      <c r="C219" s="20">
        <v>144</v>
      </c>
      <c r="D219" s="21" t="s">
        <v>40</v>
      </c>
      <c r="E219" s="26">
        <v>22</v>
      </c>
      <c r="F219" s="22">
        <v>1</v>
      </c>
      <c r="G219" s="23" t="s">
        <v>20</v>
      </c>
      <c r="H219" s="22">
        <v>48</v>
      </c>
      <c r="I219" s="23" t="s">
        <v>40</v>
      </c>
      <c r="J219" s="24">
        <f>2880000/48</f>
        <v>60000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91"/>
        <v>1200</v>
      </c>
      <c r="Q219" s="23" t="s">
        <v>40</v>
      </c>
      <c r="R219" s="24">
        <f t="shared" si="92"/>
        <v>59760000</v>
      </c>
      <c r="S219" s="24">
        <f t="shared" si="100"/>
        <v>53837837.83783783</v>
      </c>
    </row>
    <row r="220" spans="1:20" s="19" customFormat="1">
      <c r="A220" s="18" t="s">
        <v>146</v>
      </c>
      <c r="B220" s="19" t="s">
        <v>25</v>
      </c>
      <c r="C220" s="20">
        <v>64</v>
      </c>
      <c r="D220" s="21" t="s">
        <v>40</v>
      </c>
      <c r="E220" s="26">
        <v>1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f>2880000/48</f>
        <v>60000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91"/>
        <v>112</v>
      </c>
      <c r="Q220" s="23" t="s">
        <v>40</v>
      </c>
      <c r="R220" s="24">
        <f t="shared" si="92"/>
        <v>5577600</v>
      </c>
      <c r="S220" s="24">
        <f t="shared" si="100"/>
        <v>5024864.8648648644</v>
      </c>
    </row>
    <row r="221" spans="1:20" s="19" customFormat="1">
      <c r="A221" s="18" t="s">
        <v>147</v>
      </c>
      <c r="B221" s="19" t="s">
        <v>25</v>
      </c>
      <c r="C221" s="20"/>
      <c r="D221" s="21" t="s">
        <v>40</v>
      </c>
      <c r="E221" s="26">
        <v>3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f>3024000/48</f>
        <v>63000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91"/>
        <v>144</v>
      </c>
      <c r="Q221" s="23" t="s">
        <v>40</v>
      </c>
      <c r="R221" s="24">
        <f t="shared" si="92"/>
        <v>7529760</v>
      </c>
      <c r="S221" s="24">
        <f t="shared" si="100"/>
        <v>6783567.5675675673</v>
      </c>
    </row>
    <row r="222" spans="1:20" s="19" customFormat="1">
      <c r="A222" s="18" t="s">
        <v>148</v>
      </c>
      <c r="B222" s="19" t="s">
        <v>25</v>
      </c>
      <c r="C222" s="20">
        <v>43</v>
      </c>
      <c r="D222" s="21" t="s">
        <v>40</v>
      </c>
      <c r="E222" s="26">
        <v>3</v>
      </c>
      <c r="F222" s="22">
        <v>1</v>
      </c>
      <c r="G222" s="23" t="s">
        <v>20</v>
      </c>
      <c r="H222" s="22">
        <v>48</v>
      </c>
      <c r="I222" s="23" t="s">
        <v>40</v>
      </c>
      <c r="J222" s="24">
        <f>2995200/48</f>
        <v>62400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91"/>
        <v>187</v>
      </c>
      <c r="Q222" s="23" t="s">
        <v>40</v>
      </c>
      <c r="R222" s="24">
        <f t="shared" si="92"/>
        <v>9685104</v>
      </c>
      <c r="S222" s="24">
        <f t="shared" si="100"/>
        <v>8725318.9189189188</v>
      </c>
    </row>
    <row r="223" spans="1:20" s="19" customFormat="1">
      <c r="A223" s="18" t="s">
        <v>149</v>
      </c>
      <c r="B223" s="19" t="s">
        <v>25</v>
      </c>
      <c r="C223" s="20"/>
      <c r="D223" s="21" t="s">
        <v>40</v>
      </c>
      <c r="E223" s="26">
        <v>1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f>2995200/48</f>
        <v>62400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91"/>
        <v>48</v>
      </c>
      <c r="Q223" s="23" t="s">
        <v>40</v>
      </c>
      <c r="R223" s="24">
        <f t="shared" si="92"/>
        <v>2486016</v>
      </c>
      <c r="S223" s="24">
        <f t="shared" si="100"/>
        <v>2239654.054054054</v>
      </c>
    </row>
    <row r="224" spans="1:20" s="19" customFormat="1">
      <c r="A224" s="18" t="s">
        <v>824</v>
      </c>
      <c r="B224" s="19" t="s">
        <v>25</v>
      </c>
      <c r="C224" s="20"/>
      <c r="D224" s="21" t="s">
        <v>40</v>
      </c>
      <c r="E224" s="26">
        <v>15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v>60000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91"/>
        <v>720</v>
      </c>
      <c r="Q224" s="23" t="s">
        <v>40</v>
      </c>
      <c r="R224" s="24">
        <f t="shared" ref="R224" si="101">P224*(J224-(J224*L224)-((J224-(J224*L224))*M224))</f>
        <v>35856000</v>
      </c>
      <c r="S224" s="24">
        <f t="shared" ref="S224" si="102">R224/1.11</f>
        <v>32302702.702702701</v>
      </c>
    </row>
    <row r="225" spans="1:19" s="19" customFormat="1">
      <c r="A225" s="18" t="s">
        <v>891</v>
      </c>
      <c r="B225" s="19" t="s">
        <v>25</v>
      </c>
      <c r="C225" s="20"/>
      <c r="D225" s="21" t="s">
        <v>40</v>
      </c>
      <c r="E225" s="26">
        <v>5</v>
      </c>
      <c r="F225" s="22">
        <v>1</v>
      </c>
      <c r="G225" s="23" t="s">
        <v>20</v>
      </c>
      <c r="H225" s="22">
        <v>36</v>
      </c>
      <c r="I225" s="23" t="s">
        <v>40</v>
      </c>
      <c r="J225" s="24">
        <v>55800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ref="P225" si="103">(C225+(E225*F225*H225))-N225</f>
        <v>180</v>
      </c>
      <c r="Q225" s="23" t="s">
        <v>40</v>
      </c>
      <c r="R225" s="24">
        <f t="shared" ref="R225" si="104">P225*(J225-(J225*L225)-((J225-(J225*L225))*M225))</f>
        <v>8336520</v>
      </c>
      <c r="S225" s="24">
        <f t="shared" ref="S225" si="105">R225/1.11</f>
        <v>7510378.3783783773</v>
      </c>
    </row>
    <row r="226" spans="1:19" s="19" customFormat="1">
      <c r="A226" s="18" t="s">
        <v>823</v>
      </c>
      <c r="B226" s="19" t="s">
        <v>25</v>
      </c>
      <c r="C226" s="20"/>
      <c r="D226" s="21" t="s">
        <v>40</v>
      </c>
      <c r="E226" s="26">
        <v>9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69600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91"/>
        <v>432</v>
      </c>
      <c r="Q226" s="23" t="s">
        <v>40</v>
      </c>
      <c r="R226" s="24">
        <f t="shared" ref="R226" si="106">P226*(J226-(J226*L226)-((J226-(J226*L226))*M226))</f>
        <v>24955776</v>
      </c>
      <c r="S226" s="24">
        <f t="shared" ref="S226" si="107">R226/1.11</f>
        <v>22482681.081081077</v>
      </c>
    </row>
    <row r="227" spans="1:19" s="89" customFormat="1">
      <c r="A227" s="88" t="s">
        <v>726</v>
      </c>
      <c r="B227" s="89" t="s">
        <v>25</v>
      </c>
      <c r="C227" s="87"/>
      <c r="D227" s="90" t="s">
        <v>40</v>
      </c>
      <c r="E227" s="91">
        <v>7</v>
      </c>
      <c r="F227" s="92">
        <v>1</v>
      </c>
      <c r="G227" s="93" t="s">
        <v>20</v>
      </c>
      <c r="H227" s="92">
        <v>36</v>
      </c>
      <c r="I227" s="93" t="s">
        <v>40</v>
      </c>
      <c r="J227" s="94">
        <f>3240000/36</f>
        <v>90000</v>
      </c>
      <c r="K227" s="90" t="s">
        <v>40</v>
      </c>
      <c r="L227" s="95"/>
      <c r="M227" s="95">
        <v>0.17</v>
      </c>
      <c r="N227" s="92"/>
      <c r="O227" s="93" t="s">
        <v>40</v>
      </c>
      <c r="P227" s="87">
        <f t="shared" si="91"/>
        <v>252</v>
      </c>
      <c r="Q227" s="93" t="s">
        <v>40</v>
      </c>
      <c r="R227" s="94">
        <f t="shared" si="92"/>
        <v>18824400</v>
      </c>
      <c r="S227" s="94">
        <f>R227/1.11</f>
        <v>16958918.918918919</v>
      </c>
    </row>
    <row r="228" spans="1:19" s="19" customFormat="1">
      <c r="A228" s="18" t="s">
        <v>783</v>
      </c>
      <c r="B228" s="19" t="s">
        <v>25</v>
      </c>
      <c r="C228" s="20">
        <v>10</v>
      </c>
      <c r="D228" s="21" t="s">
        <v>40</v>
      </c>
      <c r="E228" s="26">
        <v>2</v>
      </c>
      <c r="F228" s="22">
        <v>1</v>
      </c>
      <c r="G228" s="23" t="s">
        <v>20</v>
      </c>
      <c r="H228" s="22">
        <v>36</v>
      </c>
      <c r="I228" s="23" t="s">
        <v>40</v>
      </c>
      <c r="J228" s="24">
        <f>4406400/36</f>
        <v>122400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91"/>
        <v>82</v>
      </c>
      <c r="Q228" s="23" t="s">
        <v>40</v>
      </c>
      <c r="R228" s="24">
        <f t="shared" si="92"/>
        <v>8330544</v>
      </c>
      <c r="S228" s="24">
        <f>R228/1.11</f>
        <v>7504994.5945945941</v>
      </c>
    </row>
    <row r="229" spans="1:19" s="19" customFormat="1">
      <c r="A229" s="18"/>
      <c r="C229" s="20"/>
      <c r="D229" s="21"/>
      <c r="E229" s="26"/>
      <c r="F229" s="22"/>
      <c r="G229" s="23"/>
      <c r="H229" s="22"/>
      <c r="I229" s="23"/>
      <c r="J229" s="24"/>
      <c r="K229" s="21"/>
      <c r="L229" s="25"/>
      <c r="M229" s="25"/>
      <c r="N229" s="22"/>
      <c r="O229" s="23"/>
      <c r="P229" s="20"/>
      <c r="Q229" s="23"/>
      <c r="R229" s="24"/>
      <c r="S229" s="24"/>
    </row>
    <row r="230" spans="1:19" s="19" customFormat="1" ht="15.75">
      <c r="A230" s="44" t="s">
        <v>150</v>
      </c>
      <c r="C230" s="20"/>
      <c r="D230" s="21"/>
      <c r="E230" s="26"/>
      <c r="F230" s="22"/>
      <c r="G230" s="23"/>
      <c r="H230" s="22"/>
      <c r="I230" s="23"/>
      <c r="J230" s="24"/>
      <c r="K230" s="21"/>
      <c r="L230" s="25"/>
      <c r="M230" s="25"/>
      <c r="N230" s="22"/>
      <c r="O230" s="23"/>
      <c r="P230" s="20"/>
      <c r="Q230" s="23"/>
      <c r="R230" s="24"/>
      <c r="S230" s="24"/>
    </row>
    <row r="231" spans="1:19" s="106" customFormat="1">
      <c r="A231" s="180" t="s">
        <v>703</v>
      </c>
      <c r="B231" s="106" t="s">
        <v>18</v>
      </c>
      <c r="C231" s="107"/>
      <c r="D231" s="108" t="s">
        <v>152</v>
      </c>
      <c r="E231" s="109">
        <v>10</v>
      </c>
      <c r="F231" s="110">
        <v>12</v>
      </c>
      <c r="G231" s="111" t="s">
        <v>33</v>
      </c>
      <c r="H231" s="110">
        <v>12</v>
      </c>
      <c r="I231" s="111" t="s">
        <v>152</v>
      </c>
      <c r="J231" s="112">
        <v>11000</v>
      </c>
      <c r="K231" s="108" t="s">
        <v>152</v>
      </c>
      <c r="L231" s="113">
        <v>0.125</v>
      </c>
      <c r="M231" s="113">
        <v>0.08</v>
      </c>
      <c r="N231" s="110"/>
      <c r="O231" s="111" t="s">
        <v>152</v>
      </c>
      <c r="P231" s="107">
        <f t="shared" ref="P231" si="108">(C231+(E231*F231*H231))-N231</f>
        <v>1440</v>
      </c>
      <c r="Q231" s="111" t="s">
        <v>152</v>
      </c>
      <c r="R231" s="112">
        <f t="shared" ref="R231" si="109">P231*(J231-(J231*L231)-((J231-(J231*L231))*M231))</f>
        <v>12751200</v>
      </c>
      <c r="S231" s="112">
        <f t="shared" ref="S231" si="110">R231/1.11</f>
        <v>11487567.567567566</v>
      </c>
    </row>
    <row r="232" spans="1:19" s="106" customFormat="1">
      <c r="A232" s="162" t="s">
        <v>703</v>
      </c>
      <c r="B232" s="106" t="s">
        <v>18</v>
      </c>
      <c r="C232" s="107"/>
      <c r="D232" s="108" t="s">
        <v>152</v>
      </c>
      <c r="E232" s="109">
        <v>2</v>
      </c>
      <c r="F232" s="110">
        <v>12</v>
      </c>
      <c r="G232" s="111" t="s">
        <v>33</v>
      </c>
      <c r="H232" s="110">
        <v>12</v>
      </c>
      <c r="I232" s="111" t="s">
        <v>152</v>
      </c>
      <c r="J232" s="112">
        <v>11000</v>
      </c>
      <c r="K232" s="108" t="s">
        <v>152</v>
      </c>
      <c r="L232" s="113">
        <v>0.125</v>
      </c>
      <c r="M232" s="113">
        <v>0.05</v>
      </c>
      <c r="N232" s="110"/>
      <c r="O232" s="111" t="s">
        <v>152</v>
      </c>
      <c r="P232" s="107">
        <f t="shared" ref="P232:P247" si="111">(C232+(E232*F232*H232))-N232</f>
        <v>288</v>
      </c>
      <c r="Q232" s="111" t="s">
        <v>152</v>
      </c>
      <c r="R232" s="112">
        <f t="shared" ref="R232:R247" si="112">P232*(J232-(J232*L232)-((J232-(J232*L232))*M232))</f>
        <v>2633400</v>
      </c>
      <c r="S232" s="112">
        <f t="shared" si="100"/>
        <v>2372432.4324324322</v>
      </c>
    </row>
    <row r="233" spans="1:19" s="106" customFormat="1">
      <c r="A233" s="180" t="s">
        <v>151</v>
      </c>
      <c r="B233" s="106" t="s">
        <v>18</v>
      </c>
      <c r="C233" s="107"/>
      <c r="D233" s="108" t="s">
        <v>152</v>
      </c>
      <c r="E233" s="109">
        <v>10</v>
      </c>
      <c r="F233" s="110">
        <v>12</v>
      </c>
      <c r="G233" s="111" t="s">
        <v>33</v>
      </c>
      <c r="H233" s="110">
        <v>12</v>
      </c>
      <c r="I233" s="111" t="s">
        <v>152</v>
      </c>
      <c r="J233" s="112">
        <v>11600</v>
      </c>
      <c r="K233" s="108" t="s">
        <v>152</v>
      </c>
      <c r="L233" s="113">
        <v>0.125</v>
      </c>
      <c r="M233" s="113">
        <v>0.08</v>
      </c>
      <c r="N233" s="110"/>
      <c r="O233" s="111" t="s">
        <v>152</v>
      </c>
      <c r="P233" s="107">
        <f t="shared" ref="P233" si="113">(C233+(E233*F233*H233))-N233</f>
        <v>1440</v>
      </c>
      <c r="Q233" s="111" t="s">
        <v>152</v>
      </c>
      <c r="R233" s="112">
        <f t="shared" ref="R233" si="114">P233*(J233-(J233*L233)-((J233-(J233*L233))*M233))</f>
        <v>13446720</v>
      </c>
      <c r="S233" s="112">
        <f t="shared" ref="S233" si="115">R233/1.11</f>
        <v>12114162.162162161</v>
      </c>
    </row>
    <row r="234" spans="1:19" s="89" customFormat="1">
      <c r="A234" s="145" t="s">
        <v>151</v>
      </c>
      <c r="B234" s="89" t="s">
        <v>18</v>
      </c>
      <c r="C234" s="87"/>
      <c r="D234" s="90" t="s">
        <v>152</v>
      </c>
      <c r="E234" s="91"/>
      <c r="F234" s="92">
        <v>12</v>
      </c>
      <c r="G234" s="93" t="s">
        <v>33</v>
      </c>
      <c r="H234" s="92">
        <v>12</v>
      </c>
      <c r="I234" s="93" t="s">
        <v>152</v>
      </c>
      <c r="J234" s="94">
        <v>11600</v>
      </c>
      <c r="K234" s="90" t="s">
        <v>152</v>
      </c>
      <c r="L234" s="95">
        <v>0.125</v>
      </c>
      <c r="M234" s="95">
        <v>0.05</v>
      </c>
      <c r="N234" s="92"/>
      <c r="O234" s="93" t="s">
        <v>152</v>
      </c>
      <c r="P234" s="87">
        <f t="shared" si="111"/>
        <v>0</v>
      </c>
      <c r="Q234" s="93" t="s">
        <v>152</v>
      </c>
      <c r="R234" s="94">
        <f t="shared" si="112"/>
        <v>0</v>
      </c>
      <c r="S234" s="94">
        <f t="shared" si="100"/>
        <v>0</v>
      </c>
    </row>
    <row r="235" spans="1:19" s="19" customFormat="1">
      <c r="A235" s="181" t="s">
        <v>153</v>
      </c>
      <c r="B235" s="19" t="s">
        <v>18</v>
      </c>
      <c r="C235" s="20"/>
      <c r="D235" s="21" t="s">
        <v>152</v>
      </c>
      <c r="E235" s="26">
        <v>5</v>
      </c>
      <c r="F235" s="22">
        <v>6</v>
      </c>
      <c r="G235" s="23" t="s">
        <v>33</v>
      </c>
      <c r="H235" s="22">
        <v>24</v>
      </c>
      <c r="I235" s="23" t="s">
        <v>152</v>
      </c>
      <c r="J235" s="24">
        <v>9000</v>
      </c>
      <c r="K235" s="21" t="s">
        <v>152</v>
      </c>
      <c r="L235" s="25">
        <v>0.125</v>
      </c>
      <c r="M235" s="25">
        <v>0.08</v>
      </c>
      <c r="N235" s="22"/>
      <c r="O235" s="23" t="s">
        <v>152</v>
      </c>
      <c r="P235" s="20">
        <f t="shared" ref="P235" si="116">(C235+(E235*F235*H235))-N235</f>
        <v>720</v>
      </c>
      <c r="Q235" s="23" t="s">
        <v>152</v>
      </c>
      <c r="R235" s="24">
        <f t="shared" ref="R235" si="117">P235*(J235-(J235*L235)-((J235-(J235*L235))*M235))</f>
        <v>5216400</v>
      </c>
      <c r="S235" s="24">
        <f t="shared" ref="S235" si="118">R235/1.11</f>
        <v>4699459.4594594594</v>
      </c>
    </row>
    <row r="236" spans="1:19" s="19" customFormat="1">
      <c r="A236" s="49" t="s">
        <v>153</v>
      </c>
      <c r="B236" s="19" t="s">
        <v>18</v>
      </c>
      <c r="C236" s="20">
        <v>276</v>
      </c>
      <c r="D236" s="21" t="s">
        <v>152</v>
      </c>
      <c r="E236" s="26">
        <v>6</v>
      </c>
      <c r="F236" s="22">
        <v>6</v>
      </c>
      <c r="G236" s="23" t="s">
        <v>33</v>
      </c>
      <c r="H236" s="22">
        <v>24</v>
      </c>
      <c r="I236" s="23" t="s">
        <v>152</v>
      </c>
      <c r="J236" s="24">
        <v>9000</v>
      </c>
      <c r="K236" s="21" t="s">
        <v>152</v>
      </c>
      <c r="L236" s="25">
        <v>0.125</v>
      </c>
      <c r="M236" s="25">
        <v>0.05</v>
      </c>
      <c r="N236" s="22"/>
      <c r="O236" s="23" t="s">
        <v>152</v>
      </c>
      <c r="P236" s="20">
        <f t="shared" si="111"/>
        <v>1140</v>
      </c>
      <c r="Q236" s="23" t="s">
        <v>152</v>
      </c>
      <c r="R236" s="24">
        <f t="shared" si="112"/>
        <v>8528625</v>
      </c>
      <c r="S236" s="24">
        <f t="shared" si="100"/>
        <v>7683445.9459459456</v>
      </c>
    </row>
    <row r="237" spans="1:19" s="19" customFormat="1">
      <c r="A237" s="164" t="s">
        <v>154</v>
      </c>
      <c r="B237" s="19" t="s">
        <v>18</v>
      </c>
      <c r="C237" s="20"/>
      <c r="D237" s="21" t="s">
        <v>152</v>
      </c>
      <c r="E237" s="26">
        <v>90</v>
      </c>
      <c r="F237" s="22">
        <v>1</v>
      </c>
      <c r="G237" s="23" t="s">
        <v>20</v>
      </c>
      <c r="H237" s="22">
        <v>144</v>
      </c>
      <c r="I237" s="23" t="s">
        <v>152</v>
      </c>
      <c r="J237" s="24">
        <v>11900</v>
      </c>
      <c r="K237" s="21" t="s">
        <v>152</v>
      </c>
      <c r="L237" s="25">
        <v>0.125</v>
      </c>
      <c r="M237" s="25">
        <v>0.08</v>
      </c>
      <c r="N237" s="22"/>
      <c r="O237" s="23" t="s">
        <v>152</v>
      </c>
      <c r="P237" s="20">
        <f t="shared" ref="P237" si="119">(C237+(E237*F237*H237))-N237</f>
        <v>12960</v>
      </c>
      <c r="Q237" s="23" t="s">
        <v>152</v>
      </c>
      <c r="R237" s="24">
        <f t="shared" ref="R237" si="120">P237*(J237-(J237*L237)-((J237-(J237*L237))*M237))</f>
        <v>124150320</v>
      </c>
      <c r="S237" s="24">
        <f t="shared" ref="S237" si="121">R237/1.11</f>
        <v>111847135.13513513</v>
      </c>
    </row>
    <row r="238" spans="1:19" s="19" customFormat="1">
      <c r="A238" s="18" t="s">
        <v>154</v>
      </c>
      <c r="B238" s="19" t="s">
        <v>18</v>
      </c>
      <c r="C238" s="20">
        <v>397</v>
      </c>
      <c r="D238" s="21" t="s">
        <v>152</v>
      </c>
      <c r="E238" s="26">
        <v>55</v>
      </c>
      <c r="F238" s="22">
        <v>1</v>
      </c>
      <c r="G238" s="23" t="s">
        <v>20</v>
      </c>
      <c r="H238" s="22">
        <v>144</v>
      </c>
      <c r="I238" s="23" t="s">
        <v>152</v>
      </c>
      <c r="J238" s="24">
        <v>11900</v>
      </c>
      <c r="K238" s="21" t="s">
        <v>152</v>
      </c>
      <c r="L238" s="25">
        <v>0.125</v>
      </c>
      <c r="M238" s="25">
        <v>0.05</v>
      </c>
      <c r="N238" s="22"/>
      <c r="O238" s="23" t="s">
        <v>152</v>
      </c>
      <c r="P238" s="20">
        <f t="shared" si="111"/>
        <v>8317</v>
      </c>
      <c r="Q238" s="23" t="s">
        <v>152</v>
      </c>
      <c r="R238" s="24">
        <f t="shared" si="112"/>
        <v>82270724.375</v>
      </c>
      <c r="S238" s="24">
        <f t="shared" si="100"/>
        <v>74117769.707207203</v>
      </c>
    </row>
    <row r="239" spans="1:19" s="19" customFormat="1">
      <c r="A239" s="164" t="s">
        <v>155</v>
      </c>
      <c r="B239" s="19" t="s">
        <v>18</v>
      </c>
      <c r="C239" s="20"/>
      <c r="D239" s="21" t="s">
        <v>152</v>
      </c>
      <c r="E239" s="26">
        <v>35</v>
      </c>
      <c r="F239" s="22">
        <v>6</v>
      </c>
      <c r="G239" s="23" t="s">
        <v>33</v>
      </c>
      <c r="H239" s="22">
        <v>12</v>
      </c>
      <c r="I239" s="23" t="s">
        <v>152</v>
      </c>
      <c r="J239" s="24">
        <v>23000</v>
      </c>
      <c r="K239" s="21" t="s">
        <v>152</v>
      </c>
      <c r="L239" s="25">
        <v>0.125</v>
      </c>
      <c r="M239" s="25">
        <v>0.08</v>
      </c>
      <c r="N239" s="22"/>
      <c r="O239" s="23" t="s">
        <v>152</v>
      </c>
      <c r="P239" s="20">
        <f t="shared" ref="P239" si="122">(C239+(E239*F239*H239))-N239</f>
        <v>2520</v>
      </c>
      <c r="Q239" s="23" t="s">
        <v>152</v>
      </c>
      <c r="R239" s="24">
        <f t="shared" ref="R239" si="123">P239*(J239-(J239*L239)-((J239-(J239*L239))*M239))</f>
        <v>46657800</v>
      </c>
      <c r="S239" s="24">
        <f t="shared" ref="S239" si="124">R239/1.11</f>
        <v>42034054.054054052</v>
      </c>
    </row>
    <row r="240" spans="1:19" s="19" customFormat="1">
      <c r="A240" s="18" t="s">
        <v>155</v>
      </c>
      <c r="B240" s="19" t="s">
        <v>18</v>
      </c>
      <c r="C240" s="20">
        <v>300</v>
      </c>
      <c r="D240" s="21" t="s">
        <v>152</v>
      </c>
      <c r="E240" s="26">
        <v>30</v>
      </c>
      <c r="F240" s="22">
        <v>6</v>
      </c>
      <c r="G240" s="23" t="s">
        <v>33</v>
      </c>
      <c r="H240" s="22">
        <v>12</v>
      </c>
      <c r="I240" s="23" t="s">
        <v>152</v>
      </c>
      <c r="J240" s="24">
        <v>23000</v>
      </c>
      <c r="K240" s="21" t="s">
        <v>152</v>
      </c>
      <c r="L240" s="25">
        <v>0.125</v>
      </c>
      <c r="M240" s="25">
        <v>0.05</v>
      </c>
      <c r="N240" s="22"/>
      <c r="O240" s="23" t="s">
        <v>152</v>
      </c>
      <c r="P240" s="20">
        <f t="shared" si="111"/>
        <v>2460</v>
      </c>
      <c r="Q240" s="23" t="s">
        <v>152</v>
      </c>
      <c r="R240" s="24">
        <f t="shared" si="112"/>
        <v>47032125</v>
      </c>
      <c r="S240" s="24">
        <f t="shared" si="100"/>
        <v>42371283.783783779</v>
      </c>
    </row>
    <row r="241" spans="1:19" s="19" customFormat="1">
      <c r="A241" s="164" t="s">
        <v>156</v>
      </c>
      <c r="B241" s="19" t="s">
        <v>18</v>
      </c>
      <c r="C241" s="20"/>
      <c r="D241" s="21" t="s">
        <v>152</v>
      </c>
      <c r="E241" s="26">
        <v>46</v>
      </c>
      <c r="F241" s="22">
        <v>8</v>
      </c>
      <c r="G241" s="23" t="s">
        <v>33</v>
      </c>
      <c r="H241" s="22">
        <v>6</v>
      </c>
      <c r="I241" s="23" t="s">
        <v>152</v>
      </c>
      <c r="J241" s="24">
        <v>29600</v>
      </c>
      <c r="K241" s="21" t="s">
        <v>152</v>
      </c>
      <c r="L241" s="25">
        <v>0.125</v>
      </c>
      <c r="M241" s="25">
        <v>0.08</v>
      </c>
      <c r="N241" s="22"/>
      <c r="O241" s="23" t="s">
        <v>152</v>
      </c>
      <c r="P241" s="20">
        <f t="shared" ref="P241" si="125">(C241+(E241*F241*H241))-N241</f>
        <v>2208</v>
      </c>
      <c r="Q241" s="23" t="s">
        <v>152</v>
      </c>
      <c r="R241" s="24">
        <f t="shared" ref="R241" si="126">P241*(J241-(J241*L241)-((J241-(J241*L241))*M241))</f>
        <v>52612224</v>
      </c>
      <c r="S241" s="24">
        <f t="shared" ref="S241" si="127">R241/1.11</f>
        <v>47398399.999999993</v>
      </c>
    </row>
    <row r="242" spans="1:19" s="19" customFormat="1">
      <c r="A242" s="18" t="s">
        <v>156</v>
      </c>
      <c r="B242" s="19" t="s">
        <v>18</v>
      </c>
      <c r="C242" s="20"/>
      <c r="D242" s="21" t="s">
        <v>152</v>
      </c>
      <c r="E242" s="26">
        <v>19</v>
      </c>
      <c r="F242" s="22">
        <v>8</v>
      </c>
      <c r="G242" s="23" t="s">
        <v>33</v>
      </c>
      <c r="H242" s="22">
        <v>6</v>
      </c>
      <c r="I242" s="23" t="s">
        <v>152</v>
      </c>
      <c r="J242" s="24">
        <v>29600</v>
      </c>
      <c r="K242" s="21" t="s">
        <v>152</v>
      </c>
      <c r="L242" s="25">
        <v>0.125</v>
      </c>
      <c r="M242" s="25">
        <v>0.05</v>
      </c>
      <c r="N242" s="22"/>
      <c r="O242" s="23" t="s">
        <v>152</v>
      </c>
      <c r="P242" s="20">
        <f t="shared" si="111"/>
        <v>912</v>
      </c>
      <c r="Q242" s="23" t="s">
        <v>152</v>
      </c>
      <c r="R242" s="24">
        <f t="shared" si="112"/>
        <v>22439760</v>
      </c>
      <c r="S242" s="24">
        <f t="shared" si="100"/>
        <v>20216000</v>
      </c>
    </row>
    <row r="243" spans="1:19" s="19" customFormat="1">
      <c r="A243" s="164" t="s">
        <v>157</v>
      </c>
      <c r="B243" s="19" t="s">
        <v>18</v>
      </c>
      <c r="C243" s="20"/>
      <c r="D243" s="21" t="s">
        <v>152</v>
      </c>
      <c r="E243" s="26">
        <v>32</v>
      </c>
      <c r="F243" s="22">
        <v>6</v>
      </c>
      <c r="G243" s="23" t="s">
        <v>33</v>
      </c>
      <c r="H243" s="22">
        <v>6</v>
      </c>
      <c r="I243" s="23" t="s">
        <v>152</v>
      </c>
      <c r="J243" s="24">
        <v>41500</v>
      </c>
      <c r="K243" s="21" t="s">
        <v>152</v>
      </c>
      <c r="L243" s="25">
        <v>0.125</v>
      </c>
      <c r="M243" s="25">
        <v>0.08</v>
      </c>
      <c r="N243" s="22"/>
      <c r="O243" s="23" t="s">
        <v>152</v>
      </c>
      <c r="P243" s="20">
        <f t="shared" ref="P243" si="128">(C243+(E243*F243*H243))-N243</f>
        <v>1152</v>
      </c>
      <c r="Q243" s="23" t="s">
        <v>152</v>
      </c>
      <c r="R243" s="24">
        <f t="shared" ref="R243" si="129">P243*(J243-(J243*L243)-((J243-(J243*L243))*M243))</f>
        <v>38485440</v>
      </c>
      <c r="S243" s="24">
        <f>R243/1.11</f>
        <v>34671567.567567565</v>
      </c>
    </row>
    <row r="244" spans="1:19" s="19" customFormat="1">
      <c r="A244" s="18" t="s">
        <v>157</v>
      </c>
      <c r="B244" s="19" t="s">
        <v>18</v>
      </c>
      <c r="C244" s="20">
        <v>242</v>
      </c>
      <c r="D244" s="21" t="s">
        <v>152</v>
      </c>
      <c r="E244" s="26">
        <v>18</v>
      </c>
      <c r="F244" s="22">
        <v>6</v>
      </c>
      <c r="G244" s="23" t="s">
        <v>33</v>
      </c>
      <c r="H244" s="22">
        <v>6</v>
      </c>
      <c r="I244" s="23" t="s">
        <v>152</v>
      </c>
      <c r="J244" s="24">
        <v>41500</v>
      </c>
      <c r="K244" s="21" t="s">
        <v>152</v>
      </c>
      <c r="L244" s="25">
        <v>0.125</v>
      </c>
      <c r="M244" s="25">
        <v>0.05</v>
      </c>
      <c r="N244" s="22"/>
      <c r="O244" s="23" t="s">
        <v>152</v>
      </c>
      <c r="P244" s="20">
        <f t="shared" si="111"/>
        <v>890</v>
      </c>
      <c r="Q244" s="23" t="s">
        <v>152</v>
      </c>
      <c r="R244" s="24">
        <f t="shared" si="112"/>
        <v>30702218.75</v>
      </c>
      <c r="S244" s="24">
        <f>R244/1.11</f>
        <v>27659656.531531528</v>
      </c>
    </row>
    <row r="245" spans="1:19" s="19" customFormat="1">
      <c r="A245" s="18" t="s">
        <v>158</v>
      </c>
      <c r="B245" s="19" t="s">
        <v>18</v>
      </c>
      <c r="C245" s="20">
        <v>264</v>
      </c>
      <c r="D245" s="21" t="s">
        <v>152</v>
      </c>
      <c r="E245" s="26">
        <v>15</v>
      </c>
      <c r="F245" s="22">
        <v>4</v>
      </c>
      <c r="G245" s="23" t="s">
        <v>33</v>
      </c>
      <c r="H245" s="22">
        <v>6</v>
      </c>
      <c r="I245" s="23" t="s">
        <v>152</v>
      </c>
      <c r="J245" s="24">
        <v>58900</v>
      </c>
      <c r="K245" s="21" t="s">
        <v>152</v>
      </c>
      <c r="L245" s="25">
        <v>0.125</v>
      </c>
      <c r="M245" s="25">
        <v>0.05</v>
      </c>
      <c r="N245" s="22"/>
      <c r="O245" s="23" t="s">
        <v>152</v>
      </c>
      <c r="P245" s="20">
        <f t="shared" si="111"/>
        <v>624</v>
      </c>
      <c r="Q245" s="23" t="s">
        <v>152</v>
      </c>
      <c r="R245" s="24">
        <f t="shared" si="112"/>
        <v>30551430</v>
      </c>
      <c r="S245" s="24">
        <f t="shared" si="100"/>
        <v>27523810.810810808</v>
      </c>
    </row>
    <row r="246" spans="1:19" s="19" customFormat="1">
      <c r="A246" s="18" t="s">
        <v>159</v>
      </c>
      <c r="B246" s="19" t="s">
        <v>18</v>
      </c>
      <c r="C246" s="20">
        <v>278</v>
      </c>
      <c r="D246" s="21" t="s">
        <v>152</v>
      </c>
      <c r="E246" s="26">
        <v>18</v>
      </c>
      <c r="F246" s="22">
        <v>4</v>
      </c>
      <c r="G246" s="23" t="s">
        <v>33</v>
      </c>
      <c r="H246" s="22">
        <v>6</v>
      </c>
      <c r="I246" s="23" t="s">
        <v>152</v>
      </c>
      <c r="J246" s="24">
        <v>66900</v>
      </c>
      <c r="K246" s="21" t="s">
        <v>152</v>
      </c>
      <c r="L246" s="25">
        <v>0.125</v>
      </c>
      <c r="M246" s="25">
        <v>0.05</v>
      </c>
      <c r="N246" s="22"/>
      <c r="O246" s="23" t="s">
        <v>152</v>
      </c>
      <c r="P246" s="20">
        <f t="shared" si="111"/>
        <v>710</v>
      </c>
      <c r="Q246" s="23" t="s">
        <v>152</v>
      </c>
      <c r="R246" s="24">
        <f t="shared" si="112"/>
        <v>39483543.75</v>
      </c>
      <c r="S246" s="24">
        <f t="shared" si="100"/>
        <v>35570760.135135129</v>
      </c>
    </row>
    <row r="247" spans="1:19" s="19" customFormat="1">
      <c r="A247" s="18" t="s">
        <v>697</v>
      </c>
      <c r="B247" s="19" t="s">
        <v>18</v>
      </c>
      <c r="C247" s="20"/>
      <c r="D247" s="21" t="s">
        <v>152</v>
      </c>
      <c r="E247" s="26">
        <v>8</v>
      </c>
      <c r="F247" s="22">
        <v>1</v>
      </c>
      <c r="G247" s="23" t="s">
        <v>20</v>
      </c>
      <c r="H247" s="22">
        <v>24</v>
      </c>
      <c r="I247" s="23" t="s">
        <v>152</v>
      </c>
      <c r="J247" s="24">
        <v>96000</v>
      </c>
      <c r="K247" s="21" t="s">
        <v>152</v>
      </c>
      <c r="L247" s="25">
        <v>0.125</v>
      </c>
      <c r="M247" s="25">
        <v>0.05</v>
      </c>
      <c r="N247" s="22"/>
      <c r="O247" s="23" t="s">
        <v>152</v>
      </c>
      <c r="P247" s="20">
        <f t="shared" si="111"/>
        <v>192</v>
      </c>
      <c r="Q247" s="23" t="s">
        <v>152</v>
      </c>
      <c r="R247" s="24">
        <f t="shared" si="112"/>
        <v>15321600</v>
      </c>
      <c r="S247" s="24">
        <f t="shared" si="100"/>
        <v>13803243.243243242</v>
      </c>
    </row>
    <row r="248" spans="1:19" s="19" customFormat="1">
      <c r="A248" s="18"/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19" customFormat="1">
      <c r="A249" s="49" t="s">
        <v>160</v>
      </c>
      <c r="B249" s="19" t="s">
        <v>25</v>
      </c>
      <c r="C249" s="20"/>
      <c r="D249" s="21" t="s">
        <v>152</v>
      </c>
      <c r="E249" s="26">
        <v>2</v>
      </c>
      <c r="F249" s="22">
        <v>12</v>
      </c>
      <c r="G249" s="23" t="s">
        <v>40</v>
      </c>
      <c r="H249" s="22">
        <v>12</v>
      </c>
      <c r="I249" s="23" t="s">
        <v>152</v>
      </c>
      <c r="J249" s="24">
        <f>1728000/12/12</f>
        <v>12000</v>
      </c>
      <c r="K249" s="21" t="s">
        <v>152</v>
      </c>
      <c r="L249" s="25"/>
      <c r="M249" s="25">
        <v>0.17</v>
      </c>
      <c r="N249" s="22"/>
      <c r="O249" s="23" t="s">
        <v>152</v>
      </c>
      <c r="P249" s="20">
        <f>(C249+(E249*F249*H249))-N249</f>
        <v>288</v>
      </c>
      <c r="Q249" s="23" t="s">
        <v>152</v>
      </c>
      <c r="R249" s="24">
        <f>P249*(J249-(J249*L249)-((J249-(J249*L249))*M249))</f>
        <v>2868480</v>
      </c>
      <c r="S249" s="24">
        <f t="shared" si="100"/>
        <v>2584216.2162162159</v>
      </c>
    </row>
    <row r="250" spans="1:19" s="19" customFormat="1">
      <c r="A250" s="49" t="s">
        <v>161</v>
      </c>
      <c r="B250" s="19" t="s">
        <v>25</v>
      </c>
      <c r="C250" s="20">
        <v>168</v>
      </c>
      <c r="D250" s="21" t="s">
        <v>152</v>
      </c>
      <c r="E250" s="26">
        <v>2</v>
      </c>
      <c r="F250" s="22">
        <v>6</v>
      </c>
      <c r="G250" s="23" t="s">
        <v>40</v>
      </c>
      <c r="H250" s="22">
        <v>12</v>
      </c>
      <c r="I250" s="23" t="s">
        <v>152</v>
      </c>
      <c r="J250" s="24">
        <f>1548000/6/12</f>
        <v>21500</v>
      </c>
      <c r="K250" s="21" t="s">
        <v>152</v>
      </c>
      <c r="L250" s="25"/>
      <c r="M250" s="25">
        <v>0.17</v>
      </c>
      <c r="N250" s="22"/>
      <c r="O250" s="23" t="s">
        <v>152</v>
      </c>
      <c r="P250" s="20">
        <f>(C250+(E250*F250*H250))-N250</f>
        <v>312</v>
      </c>
      <c r="Q250" s="23" t="s">
        <v>152</v>
      </c>
      <c r="R250" s="24">
        <f>P250*(J250-(J250*L250)-((J250-(J250*L250))*M250))</f>
        <v>5567640</v>
      </c>
      <c r="S250" s="24">
        <f t="shared" si="100"/>
        <v>5015891.8918918911</v>
      </c>
    </row>
    <row r="251" spans="1:19" s="19" customFormat="1">
      <c r="A251" s="49" t="s">
        <v>817</v>
      </c>
      <c r="B251" s="19" t="s">
        <v>25</v>
      </c>
      <c r="C251" s="20"/>
      <c r="D251" s="21" t="s">
        <v>152</v>
      </c>
      <c r="E251" s="26">
        <v>1</v>
      </c>
      <c r="F251" s="22">
        <v>4</v>
      </c>
      <c r="G251" s="23" t="s">
        <v>40</v>
      </c>
      <c r="H251" s="22">
        <v>12</v>
      </c>
      <c r="I251" s="23" t="s">
        <v>152</v>
      </c>
      <c r="J251" s="24">
        <v>28500</v>
      </c>
      <c r="K251" s="21" t="s">
        <v>152</v>
      </c>
      <c r="L251" s="25"/>
      <c r="M251" s="25">
        <v>0.17</v>
      </c>
      <c r="N251" s="22"/>
      <c r="O251" s="23" t="s">
        <v>152</v>
      </c>
      <c r="P251" s="20">
        <f t="shared" ref="P251:P252" si="130">(C251+(E251*F251*H251))-N251</f>
        <v>48</v>
      </c>
      <c r="Q251" s="23" t="s">
        <v>152</v>
      </c>
      <c r="R251" s="24">
        <f t="shared" ref="R251:R252" si="131">P251*(J251-(J251*L251)-((J251-(J251*L251))*M251))</f>
        <v>1135440</v>
      </c>
      <c r="S251" s="24">
        <f t="shared" ref="S251:S252" si="132">R251/1.11</f>
        <v>1022918.9189189188</v>
      </c>
    </row>
    <row r="252" spans="1:19" s="19" customFormat="1">
      <c r="A252" s="49" t="s">
        <v>818</v>
      </c>
      <c r="B252" s="19" t="s">
        <v>25</v>
      </c>
      <c r="C252" s="20"/>
      <c r="D252" s="21" t="s">
        <v>152</v>
      </c>
      <c r="E252" s="26">
        <v>1</v>
      </c>
      <c r="F252" s="22">
        <v>4</v>
      </c>
      <c r="G252" s="23" t="s">
        <v>40</v>
      </c>
      <c r="H252" s="22">
        <v>12</v>
      </c>
      <c r="I252" s="23" t="s">
        <v>152</v>
      </c>
      <c r="J252" s="24">
        <v>31125</v>
      </c>
      <c r="K252" s="21" t="s">
        <v>152</v>
      </c>
      <c r="L252" s="25"/>
      <c r="M252" s="25">
        <v>0.17</v>
      </c>
      <c r="N252" s="22"/>
      <c r="O252" s="23" t="s">
        <v>152</v>
      </c>
      <c r="P252" s="20">
        <f t="shared" si="130"/>
        <v>48</v>
      </c>
      <c r="Q252" s="23" t="s">
        <v>152</v>
      </c>
      <c r="R252" s="24">
        <f t="shared" si="131"/>
        <v>1240020</v>
      </c>
      <c r="S252" s="24">
        <f t="shared" si="132"/>
        <v>1117135.1351351351</v>
      </c>
    </row>
    <row r="253" spans="1:19" s="19" customFormat="1">
      <c r="A253" s="49"/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89" customFormat="1">
      <c r="A254" s="145" t="s">
        <v>162</v>
      </c>
      <c r="B254" s="89" t="s">
        <v>25</v>
      </c>
      <c r="C254" s="87"/>
      <c r="D254" s="90" t="s">
        <v>152</v>
      </c>
      <c r="E254" s="91"/>
      <c r="F254" s="92">
        <v>8</v>
      </c>
      <c r="G254" s="93" t="s">
        <v>33</v>
      </c>
      <c r="H254" s="92">
        <v>12</v>
      </c>
      <c r="I254" s="93" t="s">
        <v>152</v>
      </c>
      <c r="J254" s="94">
        <v>12500</v>
      </c>
      <c r="K254" s="90" t="s">
        <v>152</v>
      </c>
      <c r="L254" s="95"/>
      <c r="M254" s="95">
        <v>0.17</v>
      </c>
      <c r="N254" s="92"/>
      <c r="O254" s="93" t="s">
        <v>152</v>
      </c>
      <c r="P254" s="87">
        <f t="shared" ref="P254:P261" si="133">(C254+(E254*F254*H254))-N254</f>
        <v>0</v>
      </c>
      <c r="Q254" s="93" t="s">
        <v>152</v>
      </c>
      <c r="R254" s="94">
        <f t="shared" ref="R254:R261" si="134">P254*(J254-(J254*L254)-((J254-(J254*L254))*M254))</f>
        <v>0</v>
      </c>
      <c r="S254" s="94">
        <f t="shared" si="100"/>
        <v>0</v>
      </c>
    </row>
    <row r="255" spans="1:19" s="89" customFormat="1">
      <c r="A255" s="145" t="s">
        <v>163</v>
      </c>
      <c r="B255" s="89" t="s">
        <v>25</v>
      </c>
      <c r="C255" s="87"/>
      <c r="D255" s="90" t="s">
        <v>152</v>
      </c>
      <c r="E255" s="91"/>
      <c r="F255" s="92">
        <v>1</v>
      </c>
      <c r="G255" s="93" t="s">
        <v>20</v>
      </c>
      <c r="H255" s="92">
        <v>144</v>
      </c>
      <c r="I255" s="93" t="s">
        <v>152</v>
      </c>
      <c r="J255" s="94">
        <v>11600</v>
      </c>
      <c r="K255" s="90" t="s">
        <v>152</v>
      </c>
      <c r="L255" s="95"/>
      <c r="M255" s="95">
        <v>0.17</v>
      </c>
      <c r="N255" s="92"/>
      <c r="O255" s="93" t="s">
        <v>152</v>
      </c>
      <c r="P255" s="87">
        <f t="shared" si="133"/>
        <v>0</v>
      </c>
      <c r="Q255" s="93" t="s">
        <v>152</v>
      </c>
      <c r="R255" s="94">
        <f t="shared" si="134"/>
        <v>0</v>
      </c>
      <c r="S255" s="94">
        <f t="shared" si="100"/>
        <v>0</v>
      </c>
    </row>
    <row r="256" spans="1:19" s="19" customFormat="1">
      <c r="A256" s="18" t="s">
        <v>164</v>
      </c>
      <c r="B256" s="19" t="s">
        <v>25</v>
      </c>
      <c r="C256" s="20">
        <v>4032</v>
      </c>
      <c r="D256" s="21" t="s">
        <v>152</v>
      </c>
      <c r="E256" s="26">
        <v>24</v>
      </c>
      <c r="F256" s="22">
        <v>12</v>
      </c>
      <c r="G256" s="23" t="s">
        <v>40</v>
      </c>
      <c r="H256" s="22">
        <v>12</v>
      </c>
      <c r="I256" s="23" t="s">
        <v>152</v>
      </c>
      <c r="J256" s="24">
        <f>2088000/144</f>
        <v>14500</v>
      </c>
      <c r="K256" s="21" t="s">
        <v>152</v>
      </c>
      <c r="L256" s="25"/>
      <c r="M256" s="25">
        <v>0.17</v>
      </c>
      <c r="N256" s="22"/>
      <c r="O256" s="23" t="s">
        <v>152</v>
      </c>
      <c r="P256" s="20">
        <f t="shared" si="133"/>
        <v>7488</v>
      </c>
      <c r="Q256" s="23" t="s">
        <v>152</v>
      </c>
      <c r="R256" s="24">
        <f t="shared" si="134"/>
        <v>90118080</v>
      </c>
      <c r="S256" s="24">
        <f t="shared" si="100"/>
        <v>81187459.459459454</v>
      </c>
    </row>
    <row r="257" spans="1:19" s="19" customFormat="1">
      <c r="A257" s="18" t="s">
        <v>165</v>
      </c>
      <c r="B257" s="19" t="s">
        <v>25</v>
      </c>
      <c r="C257" s="20">
        <v>648</v>
      </c>
      <c r="D257" s="21" t="s">
        <v>152</v>
      </c>
      <c r="E257" s="26">
        <v>12</v>
      </c>
      <c r="F257" s="22">
        <v>6</v>
      </c>
      <c r="G257" s="23" t="s">
        <v>40</v>
      </c>
      <c r="H257" s="22">
        <v>12</v>
      </c>
      <c r="I257" s="23" t="s">
        <v>152</v>
      </c>
      <c r="J257" s="24">
        <f>1944000/72</f>
        <v>27000</v>
      </c>
      <c r="K257" s="21" t="s">
        <v>152</v>
      </c>
      <c r="L257" s="25"/>
      <c r="M257" s="25">
        <v>0.17</v>
      </c>
      <c r="N257" s="22"/>
      <c r="O257" s="23" t="s">
        <v>152</v>
      </c>
      <c r="P257" s="20">
        <f t="shared" si="133"/>
        <v>1512</v>
      </c>
      <c r="Q257" s="23" t="s">
        <v>152</v>
      </c>
      <c r="R257" s="24">
        <f t="shared" si="134"/>
        <v>33883920</v>
      </c>
      <c r="S257" s="24">
        <f t="shared" si="100"/>
        <v>30526054.054054052</v>
      </c>
    </row>
    <row r="258" spans="1:19" s="19" customFormat="1">
      <c r="A258" s="18" t="s">
        <v>166</v>
      </c>
      <c r="B258" s="19" t="s">
        <v>25</v>
      </c>
      <c r="C258" s="20">
        <v>672</v>
      </c>
      <c r="D258" s="21" t="s">
        <v>152</v>
      </c>
      <c r="E258" s="26">
        <v>6</v>
      </c>
      <c r="F258" s="22">
        <v>8</v>
      </c>
      <c r="G258" s="23" t="s">
        <v>33</v>
      </c>
      <c r="H258" s="22">
        <v>6</v>
      </c>
      <c r="I258" s="23" t="s">
        <v>152</v>
      </c>
      <c r="J258" s="24">
        <f>1632000/8/6</f>
        <v>34000</v>
      </c>
      <c r="K258" s="21" t="s">
        <v>152</v>
      </c>
      <c r="L258" s="25"/>
      <c r="M258" s="25">
        <v>0.17</v>
      </c>
      <c r="N258" s="22"/>
      <c r="O258" s="23" t="s">
        <v>152</v>
      </c>
      <c r="P258" s="20">
        <f t="shared" si="133"/>
        <v>960</v>
      </c>
      <c r="Q258" s="23" t="s">
        <v>152</v>
      </c>
      <c r="R258" s="24">
        <f t="shared" si="134"/>
        <v>27091200</v>
      </c>
      <c r="S258" s="24">
        <f t="shared" si="100"/>
        <v>24406486.486486483</v>
      </c>
    </row>
    <row r="259" spans="1:19" s="19" customFormat="1">
      <c r="A259" s="18" t="s">
        <v>167</v>
      </c>
      <c r="B259" s="19" t="s">
        <v>25</v>
      </c>
      <c r="C259" s="20">
        <v>180</v>
      </c>
      <c r="D259" s="21" t="s">
        <v>152</v>
      </c>
      <c r="E259" s="26">
        <v>6</v>
      </c>
      <c r="F259" s="22">
        <v>6</v>
      </c>
      <c r="G259" s="23" t="s">
        <v>33</v>
      </c>
      <c r="H259" s="22">
        <v>6</v>
      </c>
      <c r="I259" s="23" t="s">
        <v>152</v>
      </c>
      <c r="J259" s="24">
        <f>1710000/6/6</f>
        <v>47500</v>
      </c>
      <c r="K259" s="21" t="s">
        <v>152</v>
      </c>
      <c r="L259" s="25"/>
      <c r="M259" s="25">
        <v>0.17</v>
      </c>
      <c r="N259" s="22"/>
      <c r="O259" s="23" t="s">
        <v>152</v>
      </c>
      <c r="P259" s="20">
        <f t="shared" si="133"/>
        <v>396</v>
      </c>
      <c r="Q259" s="23" t="s">
        <v>152</v>
      </c>
      <c r="R259" s="24">
        <f t="shared" si="134"/>
        <v>15612300</v>
      </c>
      <c r="S259" s="24">
        <f t="shared" si="100"/>
        <v>14065135.135135135</v>
      </c>
    </row>
    <row r="260" spans="1:19" s="19" customFormat="1">
      <c r="A260" s="18" t="s">
        <v>168</v>
      </c>
      <c r="B260" s="19" t="s">
        <v>25</v>
      </c>
      <c r="C260" s="20">
        <v>30</v>
      </c>
      <c r="D260" s="21" t="s">
        <v>152</v>
      </c>
      <c r="E260" s="26">
        <v>4</v>
      </c>
      <c r="F260" s="22">
        <v>4</v>
      </c>
      <c r="G260" s="23" t="s">
        <v>33</v>
      </c>
      <c r="H260" s="22">
        <v>6</v>
      </c>
      <c r="I260" s="23" t="s">
        <v>152</v>
      </c>
      <c r="J260" s="24">
        <f>1656000/4/6</f>
        <v>69000</v>
      </c>
      <c r="K260" s="21" t="s">
        <v>152</v>
      </c>
      <c r="L260" s="25"/>
      <c r="M260" s="25">
        <v>0.17</v>
      </c>
      <c r="N260" s="22"/>
      <c r="O260" s="23" t="s">
        <v>152</v>
      </c>
      <c r="P260" s="20">
        <f t="shared" si="133"/>
        <v>126</v>
      </c>
      <c r="Q260" s="23" t="s">
        <v>152</v>
      </c>
      <c r="R260" s="24">
        <f t="shared" si="134"/>
        <v>7216020</v>
      </c>
      <c r="S260" s="24">
        <f t="shared" si="100"/>
        <v>6500918.9189189179</v>
      </c>
    </row>
    <row r="261" spans="1:19" s="19" customFormat="1">
      <c r="A261" s="18" t="s">
        <v>169</v>
      </c>
      <c r="B261" s="19" t="s">
        <v>25</v>
      </c>
      <c r="C261" s="20">
        <v>42</v>
      </c>
      <c r="D261" s="21" t="s">
        <v>152</v>
      </c>
      <c r="E261" s="26">
        <v>4</v>
      </c>
      <c r="F261" s="22">
        <v>4</v>
      </c>
      <c r="G261" s="23" t="s">
        <v>33</v>
      </c>
      <c r="H261" s="22">
        <v>6</v>
      </c>
      <c r="I261" s="23" t="s">
        <v>152</v>
      </c>
      <c r="J261" s="24">
        <f>1824000/4/6</f>
        <v>76000</v>
      </c>
      <c r="K261" s="21" t="s">
        <v>152</v>
      </c>
      <c r="L261" s="25"/>
      <c r="M261" s="25">
        <v>0.17</v>
      </c>
      <c r="N261" s="22"/>
      <c r="O261" s="23" t="s">
        <v>152</v>
      </c>
      <c r="P261" s="20">
        <f t="shared" si="133"/>
        <v>138</v>
      </c>
      <c r="Q261" s="23" t="s">
        <v>152</v>
      </c>
      <c r="R261" s="24">
        <f t="shared" si="134"/>
        <v>8705040</v>
      </c>
      <c r="S261" s="24">
        <f t="shared" si="100"/>
        <v>7842378.3783783773</v>
      </c>
    </row>
    <row r="262" spans="1:19" s="19" customFormat="1">
      <c r="A262" s="18"/>
      <c r="C262" s="20"/>
      <c r="D262" s="21"/>
      <c r="E262" s="26"/>
      <c r="F262" s="22"/>
      <c r="G262" s="23"/>
      <c r="H262" s="22"/>
      <c r="I262" s="23"/>
      <c r="J262" s="24"/>
      <c r="K262" s="21"/>
      <c r="L262" s="25"/>
      <c r="M262" s="25"/>
      <c r="N262" s="22"/>
      <c r="O262" s="23"/>
      <c r="P262" s="20"/>
      <c r="Q262" s="23"/>
      <c r="R262" s="24"/>
      <c r="S262" s="24"/>
    </row>
    <row r="263" spans="1:19" s="19" customFormat="1">
      <c r="A263" s="71" t="s">
        <v>170</v>
      </c>
      <c r="C263" s="20"/>
      <c r="D263" s="21"/>
      <c r="E263" s="26"/>
      <c r="F263" s="22"/>
      <c r="G263" s="23"/>
      <c r="H263" s="22"/>
      <c r="I263" s="23"/>
      <c r="J263" s="24"/>
      <c r="K263" s="21"/>
      <c r="L263" s="25"/>
      <c r="M263" s="25"/>
      <c r="N263" s="22"/>
      <c r="O263" s="23"/>
      <c r="P263" s="20"/>
      <c r="Q263" s="23"/>
      <c r="R263" s="24"/>
      <c r="S263" s="24"/>
    </row>
    <row r="264" spans="1:19" s="89" customFormat="1">
      <c r="A264" s="88" t="s">
        <v>171</v>
      </c>
      <c r="B264" s="89" t="s">
        <v>172</v>
      </c>
      <c r="C264" s="87"/>
      <c r="D264" s="90" t="s">
        <v>152</v>
      </c>
      <c r="E264" s="91"/>
      <c r="F264" s="92">
        <v>1</v>
      </c>
      <c r="G264" s="93" t="s">
        <v>20</v>
      </c>
      <c r="H264" s="92">
        <v>144</v>
      </c>
      <c r="I264" s="93" t="s">
        <v>152</v>
      </c>
      <c r="J264" s="94">
        <v>14000</v>
      </c>
      <c r="K264" s="90" t="s">
        <v>152</v>
      </c>
      <c r="L264" s="95">
        <v>0.05</v>
      </c>
      <c r="M264" s="95">
        <v>0.03</v>
      </c>
      <c r="N264" s="92"/>
      <c r="O264" s="93" t="s">
        <v>152</v>
      </c>
      <c r="P264" s="87">
        <f>(C264+(E264*F264*H264))-N264</f>
        <v>0</v>
      </c>
      <c r="Q264" s="93" t="s">
        <v>152</v>
      </c>
      <c r="R264" s="94">
        <f>P264*(J264-(J264*L264)-((J264-(J264*L264))*M264))</f>
        <v>0</v>
      </c>
      <c r="S264" s="94">
        <f t="shared" si="100"/>
        <v>0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19" customFormat="1">
      <c r="A266" s="18" t="s">
        <v>173</v>
      </c>
      <c r="B266" s="19" t="s">
        <v>18</v>
      </c>
      <c r="C266" s="20">
        <f>360+324</f>
        <v>684</v>
      </c>
      <c r="D266" s="21" t="s">
        <v>152</v>
      </c>
      <c r="E266" s="26">
        <v>16</v>
      </c>
      <c r="F266" s="22">
        <v>12</v>
      </c>
      <c r="G266" s="23" t="s">
        <v>33</v>
      </c>
      <c r="H266" s="22">
        <v>12</v>
      </c>
      <c r="I266" s="23" t="s">
        <v>152</v>
      </c>
      <c r="J266" s="24">
        <v>18600</v>
      </c>
      <c r="K266" s="21" t="s">
        <v>152</v>
      </c>
      <c r="L266" s="25">
        <v>0.125</v>
      </c>
      <c r="M266" s="25">
        <v>0.05</v>
      </c>
      <c r="N266" s="22"/>
      <c r="O266" s="23" t="s">
        <v>152</v>
      </c>
      <c r="P266" s="20">
        <f>(C266+(E266*F266*H266))-N266</f>
        <v>2988</v>
      </c>
      <c r="Q266" s="23" t="s">
        <v>152</v>
      </c>
      <c r="R266" s="24">
        <f>P266*(J266-(J266*L266)-((J266-(J266*L266))*M266))</f>
        <v>46198215</v>
      </c>
      <c r="S266" s="24">
        <f t="shared" si="100"/>
        <v>41620013.513513513</v>
      </c>
    </row>
    <row r="267" spans="1:19" s="19" customFormat="1">
      <c r="A267" s="18" t="s">
        <v>174</v>
      </c>
      <c r="B267" s="19" t="s">
        <v>18</v>
      </c>
      <c r="C267" s="20">
        <v>144</v>
      </c>
      <c r="D267" s="21" t="s">
        <v>152</v>
      </c>
      <c r="E267" s="26">
        <v>18</v>
      </c>
      <c r="F267" s="22">
        <v>12</v>
      </c>
      <c r="G267" s="23" t="s">
        <v>33</v>
      </c>
      <c r="H267" s="22">
        <v>12</v>
      </c>
      <c r="I267" s="23" t="s">
        <v>152</v>
      </c>
      <c r="J267" s="24">
        <v>23900</v>
      </c>
      <c r="K267" s="21" t="s">
        <v>152</v>
      </c>
      <c r="L267" s="25">
        <v>0.125</v>
      </c>
      <c r="M267" s="25">
        <v>0.05</v>
      </c>
      <c r="N267" s="22"/>
      <c r="O267" s="23" t="s">
        <v>152</v>
      </c>
      <c r="P267" s="20">
        <f>(C267+(E267*F267*H267))-N267</f>
        <v>2736</v>
      </c>
      <c r="Q267" s="23" t="s">
        <v>152</v>
      </c>
      <c r="R267" s="24">
        <f>P267*(J267-(J267*L267)-((J267-(J267*L267))*M267))</f>
        <v>54355770</v>
      </c>
      <c r="S267" s="24">
        <f t="shared" si="100"/>
        <v>48969162.162162155</v>
      </c>
    </row>
    <row r="268" spans="1:19" s="19" customFormat="1">
      <c r="A268" s="18" t="s">
        <v>175</v>
      </c>
      <c r="B268" s="19" t="s">
        <v>18</v>
      </c>
      <c r="C268" s="20">
        <v>72</v>
      </c>
      <c r="D268" s="21" t="s">
        <v>152</v>
      </c>
      <c r="E268" s="26">
        <v>3</v>
      </c>
      <c r="F268" s="22">
        <v>12</v>
      </c>
      <c r="G268" s="23" t="s">
        <v>33</v>
      </c>
      <c r="H268" s="22">
        <v>6</v>
      </c>
      <c r="I268" s="23" t="s">
        <v>152</v>
      </c>
      <c r="J268" s="24">
        <v>47800</v>
      </c>
      <c r="K268" s="21" t="s">
        <v>152</v>
      </c>
      <c r="L268" s="25">
        <v>0.125</v>
      </c>
      <c r="M268" s="25">
        <v>0.05</v>
      </c>
      <c r="N268" s="22"/>
      <c r="O268" s="23" t="s">
        <v>152</v>
      </c>
      <c r="P268" s="20">
        <f>(C268+(E268*F268*H268))-N268</f>
        <v>288</v>
      </c>
      <c r="Q268" s="23" t="s">
        <v>152</v>
      </c>
      <c r="R268" s="24">
        <f>P268*(J268-(J268*L268)-((J268-(J268*L268))*M268))</f>
        <v>11443320</v>
      </c>
      <c r="S268" s="24">
        <f t="shared" ref="S268" si="135">R268/1.11</f>
        <v>10309297.297297297</v>
      </c>
    </row>
    <row r="269" spans="1:19" s="19" customFormat="1">
      <c r="A269" s="18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89" customFormat="1">
      <c r="A270" s="88" t="s">
        <v>176</v>
      </c>
      <c r="B270" s="89" t="s">
        <v>25</v>
      </c>
      <c r="C270" s="87"/>
      <c r="D270" s="90" t="s">
        <v>152</v>
      </c>
      <c r="E270" s="91"/>
      <c r="F270" s="92">
        <v>12</v>
      </c>
      <c r="G270" s="93" t="s">
        <v>40</v>
      </c>
      <c r="H270" s="92">
        <v>12</v>
      </c>
      <c r="I270" s="93" t="s">
        <v>152</v>
      </c>
      <c r="J270" s="94">
        <f>2592000/12/12</f>
        <v>18000</v>
      </c>
      <c r="K270" s="90" t="s">
        <v>152</v>
      </c>
      <c r="L270" s="95"/>
      <c r="M270" s="95">
        <v>0.17</v>
      </c>
      <c r="N270" s="92"/>
      <c r="O270" s="93" t="s">
        <v>152</v>
      </c>
      <c r="P270" s="87">
        <f>(C270+(E270*F270*H270))-N270</f>
        <v>0</v>
      </c>
      <c r="Q270" s="93" t="s">
        <v>152</v>
      </c>
      <c r="R270" s="94">
        <f>P270*(J270-(J270*L270)-((J270-(J270*L270))*M270))</f>
        <v>0</v>
      </c>
      <c r="S270" s="94">
        <f t="shared" si="100"/>
        <v>0</v>
      </c>
    </row>
    <row r="271" spans="1:19" s="89" customFormat="1">
      <c r="A271" s="88" t="s">
        <v>177</v>
      </c>
      <c r="B271" s="89" t="s">
        <v>25</v>
      </c>
      <c r="C271" s="87"/>
      <c r="D271" s="90" t="s">
        <v>152</v>
      </c>
      <c r="E271" s="91"/>
      <c r="F271" s="92">
        <v>8</v>
      </c>
      <c r="G271" s="93" t="s">
        <v>40</v>
      </c>
      <c r="H271" s="92">
        <v>12</v>
      </c>
      <c r="I271" s="93" t="s">
        <v>152</v>
      </c>
      <c r="J271" s="94">
        <v>24500</v>
      </c>
      <c r="K271" s="90" t="s">
        <v>152</v>
      </c>
      <c r="L271" s="95"/>
      <c r="M271" s="95">
        <v>0.17</v>
      </c>
      <c r="N271" s="92"/>
      <c r="O271" s="93" t="s">
        <v>152</v>
      </c>
      <c r="P271" s="87">
        <f>(C271+(E271*F271*H271))-N271</f>
        <v>0</v>
      </c>
      <c r="Q271" s="93" t="s">
        <v>152</v>
      </c>
      <c r="R271" s="94">
        <f>P271*(J271-(J271*L271)-((J271-(J271*L271))*M271))</f>
        <v>0</v>
      </c>
      <c r="S271" s="94">
        <f t="shared" si="100"/>
        <v>0</v>
      </c>
    </row>
    <row r="272" spans="1:19" s="19" customFormat="1">
      <c r="A272" s="18" t="s">
        <v>178</v>
      </c>
      <c r="B272" s="19" t="s">
        <v>25</v>
      </c>
      <c r="C272" s="20">
        <v>288</v>
      </c>
      <c r="D272" s="21" t="s">
        <v>152</v>
      </c>
      <c r="E272" s="26"/>
      <c r="F272" s="22">
        <v>12</v>
      </c>
      <c r="G272" s="23" t="s">
        <v>40</v>
      </c>
      <c r="H272" s="22">
        <v>12</v>
      </c>
      <c r="I272" s="23" t="s">
        <v>152</v>
      </c>
      <c r="J272" s="24">
        <f>3888000/144</f>
        <v>27000</v>
      </c>
      <c r="K272" s="21" t="s">
        <v>152</v>
      </c>
      <c r="L272" s="25">
        <v>0.05</v>
      </c>
      <c r="M272" s="25">
        <v>0.17</v>
      </c>
      <c r="N272" s="22"/>
      <c r="O272" s="23" t="s">
        <v>152</v>
      </c>
      <c r="P272" s="20">
        <f>(C272+(E272*F272*H272))-N272</f>
        <v>288</v>
      </c>
      <c r="Q272" s="23" t="s">
        <v>152</v>
      </c>
      <c r="R272" s="24">
        <f>P272*(J272-(J272*L272)-((J272-(J272*L272))*M272))</f>
        <v>6131376</v>
      </c>
      <c r="S272" s="24">
        <f t="shared" si="100"/>
        <v>5523762.1621621614</v>
      </c>
    </row>
    <row r="273" spans="1:19" s="89" customFormat="1">
      <c r="A273" s="88" t="s">
        <v>179</v>
      </c>
      <c r="B273" s="89" t="s">
        <v>25</v>
      </c>
      <c r="C273" s="87"/>
      <c r="D273" s="90" t="s">
        <v>152</v>
      </c>
      <c r="E273" s="91"/>
      <c r="F273" s="92">
        <v>6</v>
      </c>
      <c r="G273" s="93" t="s">
        <v>40</v>
      </c>
      <c r="H273" s="92">
        <v>12</v>
      </c>
      <c r="I273" s="93" t="s">
        <v>152</v>
      </c>
      <c r="J273" s="94">
        <v>36000</v>
      </c>
      <c r="K273" s="90" t="s">
        <v>152</v>
      </c>
      <c r="L273" s="95">
        <v>0.05</v>
      </c>
      <c r="M273" s="95">
        <v>0.17</v>
      </c>
      <c r="N273" s="92"/>
      <c r="O273" s="93" t="s">
        <v>152</v>
      </c>
      <c r="P273" s="87">
        <f>(C273+(E273*F273*H273))-N273</f>
        <v>0</v>
      </c>
      <c r="Q273" s="93" t="s">
        <v>152</v>
      </c>
      <c r="R273" s="94">
        <f>P273*(J273-(J273*L273)-((J273-(J273*L273))*M273))</f>
        <v>0</v>
      </c>
      <c r="S273" s="94">
        <f t="shared" si="100"/>
        <v>0</v>
      </c>
    </row>
    <row r="274" spans="1:19" s="19" customFormat="1">
      <c r="A274" s="18"/>
      <c r="C274" s="20"/>
      <c r="D274" s="21"/>
      <c r="E274" s="26"/>
      <c r="F274" s="22"/>
      <c r="G274" s="23"/>
      <c r="H274" s="22"/>
      <c r="I274" s="23"/>
      <c r="J274" s="24"/>
      <c r="K274" s="21"/>
      <c r="L274" s="25"/>
      <c r="M274" s="25"/>
      <c r="N274" s="22"/>
      <c r="O274" s="23"/>
      <c r="P274" s="20"/>
      <c r="Q274" s="23"/>
      <c r="R274" s="24"/>
      <c r="S274" s="24"/>
    </row>
    <row r="275" spans="1:19" s="19" customFormat="1">
      <c r="A275" s="71" t="s">
        <v>180</v>
      </c>
      <c r="C275" s="20"/>
      <c r="D275" s="21"/>
      <c r="E275" s="26"/>
      <c r="F275" s="22"/>
      <c r="G275" s="23"/>
      <c r="H275" s="22"/>
      <c r="I275" s="23"/>
      <c r="J275" s="24"/>
      <c r="K275" s="21"/>
      <c r="L275" s="25"/>
      <c r="M275" s="25"/>
      <c r="N275" s="22"/>
      <c r="O275" s="23"/>
      <c r="P275" s="20"/>
      <c r="Q275" s="23"/>
      <c r="R275" s="24"/>
      <c r="S275" s="24"/>
    </row>
    <row r="276" spans="1:19" s="89" customFormat="1">
      <c r="A276" s="88" t="s">
        <v>181</v>
      </c>
      <c r="B276" s="89" t="s">
        <v>182</v>
      </c>
      <c r="C276" s="87"/>
      <c r="D276" s="90" t="s">
        <v>40</v>
      </c>
      <c r="E276" s="91"/>
      <c r="F276" s="92">
        <v>1</v>
      </c>
      <c r="G276" s="93" t="s">
        <v>20</v>
      </c>
      <c r="H276" s="92">
        <v>5</v>
      </c>
      <c r="I276" s="93" t="s">
        <v>40</v>
      </c>
      <c r="J276" s="94">
        <v>475000</v>
      </c>
      <c r="K276" s="90" t="s">
        <v>40</v>
      </c>
      <c r="L276" s="95"/>
      <c r="M276" s="95"/>
      <c r="N276" s="92"/>
      <c r="O276" s="93" t="s">
        <v>40</v>
      </c>
      <c r="P276" s="87">
        <f>(C276+(E276*F276*H276))-N276</f>
        <v>0</v>
      </c>
      <c r="Q276" s="93" t="s">
        <v>40</v>
      </c>
      <c r="R276" s="94">
        <f>P276*(J276-(J276*L276)-((J276-(J276*L276))*M276))</f>
        <v>0</v>
      </c>
      <c r="S276" s="94">
        <f t="shared" si="100"/>
        <v>0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06" customFormat="1">
      <c r="A278" s="98" t="s">
        <v>714</v>
      </c>
      <c r="B278" s="106" t="s">
        <v>18</v>
      </c>
      <c r="C278" s="107"/>
      <c r="D278" s="108" t="s">
        <v>152</v>
      </c>
      <c r="E278" s="109">
        <v>1</v>
      </c>
      <c r="F278" s="110">
        <v>8</v>
      </c>
      <c r="G278" s="111" t="s">
        <v>33</v>
      </c>
      <c r="H278" s="110">
        <v>12</v>
      </c>
      <c r="I278" s="111" t="s">
        <v>152</v>
      </c>
      <c r="J278" s="112">
        <v>26800</v>
      </c>
      <c r="K278" s="108" t="s">
        <v>152</v>
      </c>
      <c r="L278" s="113">
        <v>0.125</v>
      </c>
      <c r="M278" s="113">
        <v>0.05</v>
      </c>
      <c r="N278" s="110"/>
      <c r="O278" s="111" t="s">
        <v>152</v>
      </c>
      <c r="P278" s="107">
        <f>(C278+(E278*F278*H278))-N278</f>
        <v>96</v>
      </c>
      <c r="Q278" s="111" t="s">
        <v>152</v>
      </c>
      <c r="R278" s="112">
        <f>P278*(J278-(J278*L278)-((J278-(J278*L278))*M278))</f>
        <v>2138640</v>
      </c>
      <c r="S278" s="112">
        <f t="shared" si="100"/>
        <v>1926702.7027027025</v>
      </c>
    </row>
    <row r="279" spans="1:19" s="89" customFormat="1">
      <c r="A279" s="88" t="s">
        <v>183</v>
      </c>
      <c r="B279" s="89" t="s">
        <v>18</v>
      </c>
      <c r="C279" s="87"/>
      <c r="D279" s="90" t="s">
        <v>152</v>
      </c>
      <c r="E279" s="91"/>
      <c r="F279" s="92">
        <v>6</v>
      </c>
      <c r="G279" s="93" t="s">
        <v>33</v>
      </c>
      <c r="H279" s="92">
        <v>12</v>
      </c>
      <c r="I279" s="93" t="s">
        <v>152</v>
      </c>
      <c r="J279" s="94">
        <v>41500</v>
      </c>
      <c r="K279" s="90" t="s">
        <v>152</v>
      </c>
      <c r="L279" s="95">
        <v>0.125</v>
      </c>
      <c r="M279" s="95">
        <v>0.05</v>
      </c>
      <c r="N279" s="92"/>
      <c r="O279" s="93" t="s">
        <v>152</v>
      </c>
      <c r="P279" s="87">
        <f>(C279+(E279*F279*H279))-N279</f>
        <v>0</v>
      </c>
      <c r="Q279" s="93" t="s">
        <v>152</v>
      </c>
      <c r="R279" s="94">
        <f>P279*(J279-(J279*L279)-((J279-(J279*L279))*M279))</f>
        <v>0</v>
      </c>
      <c r="S279" s="94">
        <f t="shared" si="100"/>
        <v>0</v>
      </c>
    </row>
    <row r="280" spans="1:19" s="19" customFormat="1">
      <c r="A280" s="18"/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 ht="15.75">
      <c r="A281" s="44" t="s">
        <v>184</v>
      </c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71" t="s">
        <v>185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89" customFormat="1">
      <c r="A283" s="88" t="s">
        <v>692</v>
      </c>
      <c r="B283" s="89" t="s">
        <v>18</v>
      </c>
      <c r="C283" s="87"/>
      <c r="D283" s="90" t="s">
        <v>40</v>
      </c>
      <c r="E283" s="91"/>
      <c r="F283" s="92">
        <v>1</v>
      </c>
      <c r="G283" s="93" t="s">
        <v>20</v>
      </c>
      <c r="H283" s="92">
        <v>24</v>
      </c>
      <c r="I283" s="93" t="s">
        <v>40</v>
      </c>
      <c r="J283" s="94">
        <v>27600</v>
      </c>
      <c r="K283" s="90" t="s">
        <v>40</v>
      </c>
      <c r="L283" s="95">
        <v>0.125</v>
      </c>
      <c r="M283" s="95">
        <v>0.05</v>
      </c>
      <c r="N283" s="92"/>
      <c r="O283" s="93" t="s">
        <v>40</v>
      </c>
      <c r="P283" s="87">
        <f t="shared" ref="P283:P288" si="136">(C283+(E283*F283*H283))-N283</f>
        <v>0</v>
      </c>
      <c r="Q283" s="93" t="s">
        <v>40</v>
      </c>
      <c r="R283" s="94">
        <f t="shared" ref="R283:R288" si="137">P283*(J283-(J283*L283)-((J283-(J283*L283))*M283))</f>
        <v>0</v>
      </c>
      <c r="S283" s="94">
        <f t="shared" ref="S283" si="138">R283/1.11</f>
        <v>0</v>
      </c>
    </row>
    <row r="284" spans="1:19" s="89" customFormat="1">
      <c r="A284" s="88" t="s">
        <v>186</v>
      </c>
      <c r="B284" s="89" t="s">
        <v>18</v>
      </c>
      <c r="C284" s="87"/>
      <c r="D284" s="90" t="s">
        <v>40</v>
      </c>
      <c r="E284" s="91"/>
      <c r="F284" s="92">
        <v>1</v>
      </c>
      <c r="G284" s="93" t="s">
        <v>20</v>
      </c>
      <c r="H284" s="92">
        <v>24</v>
      </c>
      <c r="I284" s="93" t="s">
        <v>40</v>
      </c>
      <c r="J284" s="94">
        <v>73200</v>
      </c>
      <c r="K284" s="90" t="s">
        <v>40</v>
      </c>
      <c r="L284" s="95">
        <v>0.125</v>
      </c>
      <c r="M284" s="95">
        <v>0.05</v>
      </c>
      <c r="N284" s="92"/>
      <c r="O284" s="93" t="s">
        <v>40</v>
      </c>
      <c r="P284" s="87">
        <f t="shared" si="136"/>
        <v>0</v>
      </c>
      <c r="Q284" s="93" t="s">
        <v>40</v>
      </c>
      <c r="R284" s="94">
        <f t="shared" si="137"/>
        <v>0</v>
      </c>
      <c r="S284" s="94">
        <f t="shared" si="100"/>
        <v>0</v>
      </c>
    </row>
    <row r="285" spans="1:19" s="19" customFormat="1">
      <c r="A285" s="18" t="s">
        <v>187</v>
      </c>
      <c r="B285" s="19" t="s">
        <v>18</v>
      </c>
      <c r="C285" s="20">
        <v>36</v>
      </c>
      <c r="D285" s="21" t="s">
        <v>40</v>
      </c>
      <c r="E285" s="26"/>
      <c r="F285" s="22">
        <v>1</v>
      </c>
      <c r="G285" s="23" t="s">
        <v>20</v>
      </c>
      <c r="H285" s="22">
        <v>48</v>
      </c>
      <c r="I285" s="23" t="s">
        <v>40</v>
      </c>
      <c r="J285" s="24">
        <v>51600</v>
      </c>
      <c r="K285" s="21" t="s">
        <v>40</v>
      </c>
      <c r="L285" s="25">
        <v>0.125</v>
      </c>
      <c r="M285" s="25">
        <v>0.05</v>
      </c>
      <c r="N285" s="22"/>
      <c r="O285" s="23" t="s">
        <v>40</v>
      </c>
      <c r="P285" s="20">
        <f t="shared" si="136"/>
        <v>36</v>
      </c>
      <c r="Q285" s="23" t="s">
        <v>40</v>
      </c>
      <c r="R285" s="24">
        <f t="shared" si="137"/>
        <v>1544130</v>
      </c>
      <c r="S285" s="24">
        <f t="shared" si="100"/>
        <v>1391108.1081081079</v>
      </c>
    </row>
    <row r="286" spans="1:19" s="19" customFormat="1">
      <c r="A286" s="18" t="s">
        <v>188</v>
      </c>
      <c r="B286" s="19" t="s">
        <v>18</v>
      </c>
      <c r="C286" s="20">
        <v>20</v>
      </c>
      <c r="D286" s="21" t="s">
        <v>40</v>
      </c>
      <c r="E286" s="26">
        <v>5</v>
      </c>
      <c r="F286" s="22">
        <v>1</v>
      </c>
      <c r="G286" s="23" t="s">
        <v>20</v>
      </c>
      <c r="H286" s="22">
        <v>48</v>
      </c>
      <c r="I286" s="23" t="s">
        <v>40</v>
      </c>
      <c r="J286" s="24">
        <v>55800</v>
      </c>
      <c r="K286" s="21" t="s">
        <v>40</v>
      </c>
      <c r="L286" s="25">
        <v>0.125</v>
      </c>
      <c r="M286" s="25">
        <v>0.05</v>
      </c>
      <c r="N286" s="22"/>
      <c r="O286" s="23" t="s">
        <v>40</v>
      </c>
      <c r="P286" s="20">
        <f t="shared" si="136"/>
        <v>260</v>
      </c>
      <c r="Q286" s="23" t="s">
        <v>40</v>
      </c>
      <c r="R286" s="24">
        <f t="shared" si="137"/>
        <v>12059775</v>
      </c>
      <c r="S286" s="24">
        <f t="shared" si="100"/>
        <v>10864662.162162161</v>
      </c>
    </row>
    <row r="287" spans="1:19" s="89" customFormat="1">
      <c r="A287" s="88" t="s">
        <v>713</v>
      </c>
      <c r="B287" s="89" t="s">
        <v>18</v>
      </c>
      <c r="C287" s="87"/>
      <c r="D287" s="90" t="s">
        <v>40</v>
      </c>
      <c r="E287" s="91"/>
      <c r="F287" s="92">
        <v>1</v>
      </c>
      <c r="G287" s="93" t="s">
        <v>20</v>
      </c>
      <c r="H287" s="92">
        <f>288/12</f>
        <v>24</v>
      </c>
      <c r="I287" s="93" t="s">
        <v>40</v>
      </c>
      <c r="J287" s="94">
        <f>10600*12</f>
        <v>127200</v>
      </c>
      <c r="K287" s="90" t="s">
        <v>40</v>
      </c>
      <c r="L287" s="95">
        <v>0.125</v>
      </c>
      <c r="M287" s="95">
        <v>0.05</v>
      </c>
      <c r="N287" s="92"/>
      <c r="O287" s="93" t="s">
        <v>40</v>
      </c>
      <c r="P287" s="87">
        <f t="shared" si="136"/>
        <v>0</v>
      </c>
      <c r="Q287" s="93" t="s">
        <v>40</v>
      </c>
      <c r="R287" s="94">
        <f t="shared" si="137"/>
        <v>0</v>
      </c>
      <c r="S287" s="94">
        <f t="shared" si="100"/>
        <v>0</v>
      </c>
    </row>
    <row r="288" spans="1:19" s="19" customFormat="1">
      <c r="A288" s="18" t="s">
        <v>189</v>
      </c>
      <c r="B288" s="19" t="s">
        <v>18</v>
      </c>
      <c r="C288" s="20">
        <v>9</v>
      </c>
      <c r="D288" s="21" t="s">
        <v>40</v>
      </c>
      <c r="E288" s="26">
        <v>15</v>
      </c>
      <c r="F288" s="22">
        <v>1</v>
      </c>
      <c r="G288" s="23" t="s">
        <v>20</v>
      </c>
      <c r="H288" s="22">
        <v>24</v>
      </c>
      <c r="I288" s="23" t="s">
        <v>40</v>
      </c>
      <c r="J288" s="24">
        <v>162000</v>
      </c>
      <c r="K288" s="21" t="s">
        <v>40</v>
      </c>
      <c r="L288" s="25">
        <v>0.125</v>
      </c>
      <c r="M288" s="25">
        <v>0.05</v>
      </c>
      <c r="N288" s="22"/>
      <c r="O288" s="23" t="s">
        <v>40</v>
      </c>
      <c r="P288" s="20">
        <f t="shared" si="136"/>
        <v>369</v>
      </c>
      <c r="Q288" s="23" t="s">
        <v>40</v>
      </c>
      <c r="R288" s="24">
        <f t="shared" si="137"/>
        <v>49690462.5</v>
      </c>
      <c r="S288" s="24">
        <f t="shared" si="100"/>
        <v>44766182.432432428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18" t="s">
        <v>190</v>
      </c>
      <c r="B290" s="19" t="s">
        <v>25</v>
      </c>
      <c r="C290" s="20">
        <v>30</v>
      </c>
      <c r="D290" s="21" t="s">
        <v>40</v>
      </c>
      <c r="E290" s="26">
        <v>4</v>
      </c>
      <c r="F290" s="22">
        <v>1</v>
      </c>
      <c r="G290" s="23" t="s">
        <v>20</v>
      </c>
      <c r="H290" s="22">
        <v>30</v>
      </c>
      <c r="I290" s="23" t="s">
        <v>40</v>
      </c>
      <c r="J290" s="24">
        <f>1566000/30</f>
        <v>52200</v>
      </c>
      <c r="K290" s="21" t="s">
        <v>40</v>
      </c>
      <c r="L290" s="25"/>
      <c r="M290" s="25">
        <v>0.17</v>
      </c>
      <c r="N290" s="22"/>
      <c r="O290" s="23" t="s">
        <v>40</v>
      </c>
      <c r="P290" s="20">
        <f>(C290+(E290*F290*H290))-N290</f>
        <v>150</v>
      </c>
      <c r="Q290" s="23" t="s">
        <v>40</v>
      </c>
      <c r="R290" s="24">
        <f>P290*(J290-(J290*L290)-((J290-(J290*L290))*M290))</f>
        <v>6498900</v>
      </c>
      <c r="S290" s="24">
        <f t="shared" si="100"/>
        <v>5854864.8648648644</v>
      </c>
    </row>
    <row r="291" spans="1:19" s="19" customFormat="1">
      <c r="A291" s="18" t="s">
        <v>191</v>
      </c>
      <c r="B291" s="19" t="s">
        <v>25</v>
      </c>
      <c r="C291" s="20">
        <v>111</v>
      </c>
      <c r="D291" s="21" t="s">
        <v>40</v>
      </c>
      <c r="E291" s="26">
        <v>7</v>
      </c>
      <c r="F291" s="22">
        <v>1</v>
      </c>
      <c r="G291" s="23" t="s">
        <v>20</v>
      </c>
      <c r="H291" s="22">
        <v>30</v>
      </c>
      <c r="I291" s="23" t="s">
        <v>40</v>
      </c>
      <c r="J291" s="24">
        <f>1710000/30</f>
        <v>57000</v>
      </c>
      <c r="K291" s="21" t="s">
        <v>40</v>
      </c>
      <c r="L291" s="25"/>
      <c r="M291" s="25">
        <v>0.17</v>
      </c>
      <c r="N291" s="22"/>
      <c r="O291" s="23" t="s">
        <v>40</v>
      </c>
      <c r="P291" s="20">
        <f>(C291+(E291*F291*H291))-N291</f>
        <v>321</v>
      </c>
      <c r="Q291" s="23" t="s">
        <v>40</v>
      </c>
      <c r="R291" s="24">
        <f>P291*(J291-(J291*L291)-((J291-(J291*L291))*M291))</f>
        <v>15186510</v>
      </c>
      <c r="S291" s="24">
        <f t="shared" si="100"/>
        <v>13681540.540540539</v>
      </c>
    </row>
    <row r="292" spans="1:19" s="19" customFormat="1">
      <c r="A292" s="18" t="s">
        <v>192</v>
      </c>
      <c r="B292" s="19" t="s">
        <v>25</v>
      </c>
      <c r="C292" s="20">
        <v>140</v>
      </c>
      <c r="D292" s="21" t="s">
        <v>40</v>
      </c>
      <c r="E292" s="26">
        <v>24</v>
      </c>
      <c r="F292" s="22">
        <v>1</v>
      </c>
      <c r="G292" s="23" t="s">
        <v>20</v>
      </c>
      <c r="H292" s="22">
        <v>20</v>
      </c>
      <c r="I292" s="23" t="s">
        <v>40</v>
      </c>
      <c r="J292" s="24">
        <f>2952000/20</f>
        <v>147600</v>
      </c>
      <c r="K292" s="21" t="s">
        <v>40</v>
      </c>
      <c r="L292" s="25"/>
      <c r="M292" s="25">
        <v>0.17</v>
      </c>
      <c r="N292" s="22"/>
      <c r="O292" s="23" t="s">
        <v>40</v>
      </c>
      <c r="P292" s="20">
        <f>(C292+(E292*F292*H292))-N292</f>
        <v>620</v>
      </c>
      <c r="Q292" s="23" t="s">
        <v>40</v>
      </c>
      <c r="R292" s="24">
        <f>P292*(J292-(J292*L292)-((J292-(J292*L292))*M292))</f>
        <v>75954960</v>
      </c>
      <c r="S292" s="24">
        <f t="shared" si="100"/>
        <v>68427891.891891882</v>
      </c>
    </row>
    <row r="293" spans="1:19" s="19" customFormat="1">
      <c r="A293" s="18"/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>
      <c r="A294" s="18" t="s">
        <v>663</v>
      </c>
      <c r="B294" s="19" t="s">
        <v>598</v>
      </c>
      <c r="C294" s="20">
        <v>25</v>
      </c>
      <c r="D294" s="21" t="s">
        <v>40</v>
      </c>
      <c r="E294" s="26"/>
      <c r="F294" s="22">
        <v>1</v>
      </c>
      <c r="G294" s="23" t="s">
        <v>20</v>
      </c>
      <c r="H294" s="22">
        <v>48</v>
      </c>
      <c r="I294" s="23" t="s">
        <v>40</v>
      </c>
      <c r="J294" s="24">
        <v>60600</v>
      </c>
      <c r="K294" s="21" t="s">
        <v>40</v>
      </c>
      <c r="L294" s="25">
        <v>0.15</v>
      </c>
      <c r="M294" s="25">
        <v>0.03</v>
      </c>
      <c r="N294" s="22"/>
      <c r="O294" s="23" t="s">
        <v>40</v>
      </c>
      <c r="P294" s="20">
        <f>(C294+(E294*F294*H294))-N294</f>
        <v>25</v>
      </c>
      <c r="Q294" s="23" t="s">
        <v>40</v>
      </c>
      <c r="R294" s="24">
        <f>P294*(J294-(J294*L294)-((J294-(J294*L294))*M294))</f>
        <v>1249117.5</v>
      </c>
      <c r="S294" s="24">
        <f t="shared" si="100"/>
        <v>1125331.0810810809</v>
      </c>
    </row>
    <row r="295" spans="1:19" s="19" customFormat="1">
      <c r="A295" s="18"/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19" customFormat="1">
      <c r="A296" s="18" t="s">
        <v>769</v>
      </c>
      <c r="B296" s="18" t="s">
        <v>172</v>
      </c>
      <c r="C296" s="50">
        <v>600</v>
      </c>
      <c r="D296" s="51" t="s">
        <v>40</v>
      </c>
      <c r="E296" s="52"/>
      <c r="F296" s="53">
        <v>1</v>
      </c>
      <c r="G296" s="48" t="s">
        <v>20</v>
      </c>
      <c r="H296" s="53">
        <v>120</v>
      </c>
      <c r="I296" s="48" t="s">
        <v>40</v>
      </c>
      <c r="J296" s="29">
        <v>7500</v>
      </c>
      <c r="K296" s="51" t="s">
        <v>40</v>
      </c>
      <c r="L296" s="54">
        <v>0.05</v>
      </c>
      <c r="M296" s="54"/>
      <c r="N296" s="53"/>
      <c r="O296" s="48" t="s">
        <v>40</v>
      </c>
      <c r="P296" s="50">
        <f>(C296+(E296*F296*H296))-N296</f>
        <v>600</v>
      </c>
      <c r="Q296" s="48" t="s">
        <v>40</v>
      </c>
      <c r="R296" s="29">
        <f>P296*(J296-(J296*L296)-((J296-(J296*L296))*M296))</f>
        <v>4275000</v>
      </c>
      <c r="S296" s="29">
        <f t="shared" ref="S296:S297" si="139">R296/1.11</f>
        <v>3851351.351351351</v>
      </c>
    </row>
    <row r="297" spans="1:19" s="19" customFormat="1">
      <c r="A297" s="18" t="s">
        <v>775</v>
      </c>
      <c r="B297" s="18" t="s">
        <v>172</v>
      </c>
      <c r="C297" s="50">
        <v>27</v>
      </c>
      <c r="D297" s="51" t="s">
        <v>40</v>
      </c>
      <c r="E297" s="52"/>
      <c r="F297" s="53">
        <v>1</v>
      </c>
      <c r="G297" s="48" t="s">
        <v>20</v>
      </c>
      <c r="H297" s="53">
        <v>20</v>
      </c>
      <c r="I297" s="48" t="s">
        <v>40</v>
      </c>
      <c r="J297" s="29">
        <f>5500*12</f>
        <v>66000</v>
      </c>
      <c r="K297" s="51" t="s">
        <v>40</v>
      </c>
      <c r="L297" s="54">
        <v>0.05</v>
      </c>
      <c r="M297" s="54"/>
      <c r="N297" s="53"/>
      <c r="O297" s="48" t="s">
        <v>40</v>
      </c>
      <c r="P297" s="50">
        <f>(C297+(E297*F297*H297))-N297</f>
        <v>27</v>
      </c>
      <c r="Q297" s="48" t="s">
        <v>40</v>
      </c>
      <c r="R297" s="29">
        <f>P297*(J297-(J297*L297)-((J297-(J297*L297))*M297))</f>
        <v>1692900</v>
      </c>
      <c r="S297" s="29">
        <f t="shared" si="139"/>
        <v>1525135.1351351349</v>
      </c>
    </row>
    <row r="298" spans="1:19" s="19" customFormat="1">
      <c r="A298" s="18"/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19" customFormat="1">
      <c r="A299" s="71" t="s">
        <v>193</v>
      </c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19" customFormat="1">
      <c r="A300" s="18" t="s">
        <v>194</v>
      </c>
      <c r="B300" s="19" t="s">
        <v>18</v>
      </c>
      <c r="C300" s="20">
        <v>230</v>
      </c>
      <c r="D300" s="21" t="s">
        <v>40</v>
      </c>
      <c r="E300" s="26">
        <v>9</v>
      </c>
      <c r="F300" s="22">
        <v>1</v>
      </c>
      <c r="G300" s="23" t="s">
        <v>20</v>
      </c>
      <c r="H300" s="22">
        <v>120</v>
      </c>
      <c r="I300" s="23" t="s">
        <v>40</v>
      </c>
      <c r="J300" s="24">
        <v>24600</v>
      </c>
      <c r="K300" s="21" t="s">
        <v>40</v>
      </c>
      <c r="L300" s="25">
        <v>0.125</v>
      </c>
      <c r="M300" s="25">
        <v>0.05</v>
      </c>
      <c r="N300" s="22"/>
      <c r="O300" s="23" t="s">
        <v>40</v>
      </c>
      <c r="P300" s="20">
        <f>(C300+(E300*F300*H300))-N300</f>
        <v>1310</v>
      </c>
      <c r="Q300" s="23" t="s">
        <v>40</v>
      </c>
      <c r="R300" s="24">
        <f>P300*(J300-(J300*L300)-((J300-(J300*L300))*M300))</f>
        <v>26787862.5</v>
      </c>
      <c r="S300" s="24">
        <f t="shared" si="100"/>
        <v>24133209.459459458</v>
      </c>
    </row>
    <row r="301" spans="1:19" s="19" customFormat="1">
      <c r="A301" s="18" t="s">
        <v>825</v>
      </c>
      <c r="B301" s="19" t="s">
        <v>18</v>
      </c>
      <c r="C301" s="20">
        <f>5*40+(192/12)</f>
        <v>216</v>
      </c>
      <c r="D301" s="21" t="s">
        <v>40</v>
      </c>
      <c r="E301" s="26"/>
      <c r="F301" s="22">
        <v>1</v>
      </c>
      <c r="G301" s="23" t="s">
        <v>20</v>
      </c>
      <c r="H301" s="22">
        <v>40</v>
      </c>
      <c r="I301" s="23" t="s">
        <v>40</v>
      </c>
      <c r="J301" s="24">
        <v>0</v>
      </c>
      <c r="K301" s="21" t="s">
        <v>40</v>
      </c>
      <c r="L301" s="25">
        <v>0</v>
      </c>
      <c r="M301" s="25">
        <v>0</v>
      </c>
      <c r="N301" s="22"/>
      <c r="O301" s="23" t="s">
        <v>40</v>
      </c>
      <c r="P301" s="20">
        <f>(C301+(E301*F301*H301))-N301</f>
        <v>216</v>
      </c>
      <c r="Q301" s="23" t="s">
        <v>40</v>
      </c>
      <c r="R301" s="24">
        <f>P301*(J301-(J301*L301)-((J301-(J301*L301))*M301))</f>
        <v>0</v>
      </c>
      <c r="S301" s="24">
        <f t="shared" ref="S301" si="140">R301/1.11</f>
        <v>0</v>
      </c>
    </row>
    <row r="302" spans="1:19" s="19" customFormat="1">
      <c r="A302" s="18" t="s">
        <v>825</v>
      </c>
      <c r="B302" s="19" t="s">
        <v>18</v>
      </c>
      <c r="C302" s="20">
        <f>288/12</f>
        <v>24</v>
      </c>
      <c r="D302" s="21" t="s">
        <v>40</v>
      </c>
      <c r="E302" s="26"/>
      <c r="F302" s="22">
        <v>1</v>
      </c>
      <c r="G302" s="23" t="s">
        <v>20</v>
      </c>
      <c r="H302" s="22">
        <v>40</v>
      </c>
      <c r="I302" s="23" t="s">
        <v>40</v>
      </c>
      <c r="J302" s="24">
        <v>0</v>
      </c>
      <c r="K302" s="21" t="s">
        <v>40</v>
      </c>
      <c r="L302" s="25">
        <v>0.125</v>
      </c>
      <c r="M302" s="25">
        <v>0.05</v>
      </c>
      <c r="N302" s="22"/>
      <c r="O302" s="23" t="s">
        <v>40</v>
      </c>
      <c r="P302" s="20">
        <f>(C302+(E302*F302*H302))-N302</f>
        <v>24</v>
      </c>
      <c r="Q302" s="23" t="s">
        <v>40</v>
      </c>
      <c r="R302" s="24">
        <f>P302*(J302-(J302*L302)-((J302-(J302*L302))*M302))</f>
        <v>0</v>
      </c>
      <c r="S302" s="24">
        <f t="shared" ref="S302" si="141">R302/1.11</f>
        <v>0</v>
      </c>
    </row>
    <row r="303" spans="1:19" s="19" customFormat="1">
      <c r="A303" s="18" t="s">
        <v>730</v>
      </c>
      <c r="B303" s="19" t="s">
        <v>18</v>
      </c>
      <c r="C303" s="20">
        <v>320</v>
      </c>
      <c r="D303" s="21" t="s">
        <v>40</v>
      </c>
      <c r="E303" s="26">
        <v>16</v>
      </c>
      <c r="F303" s="22">
        <v>1</v>
      </c>
      <c r="G303" s="23" t="s">
        <v>20</v>
      </c>
      <c r="H303" s="22">
        <v>40</v>
      </c>
      <c r="I303" s="23" t="s">
        <v>40</v>
      </c>
      <c r="J303" s="24">
        <v>49200</v>
      </c>
      <c r="K303" s="21" t="s">
        <v>40</v>
      </c>
      <c r="L303" s="25">
        <v>0.125</v>
      </c>
      <c r="M303" s="25">
        <v>0.05</v>
      </c>
      <c r="N303" s="22"/>
      <c r="O303" s="23" t="s">
        <v>40</v>
      </c>
      <c r="P303" s="20">
        <f>(C303+(E303*F303*H303))-N303</f>
        <v>960</v>
      </c>
      <c r="Q303" s="23" t="s">
        <v>40</v>
      </c>
      <c r="R303" s="24">
        <f>P303*(J303-(J303*L303)-((J303-(J303*L303))*M303))</f>
        <v>39261600</v>
      </c>
      <c r="S303" s="24">
        <f t="shared" si="100"/>
        <v>35370810.810810804</v>
      </c>
    </row>
    <row r="304" spans="1:19" s="19" customFormat="1">
      <c r="A304" s="18"/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19" customFormat="1">
      <c r="A305" s="18" t="s">
        <v>195</v>
      </c>
      <c r="B305" s="19" t="s">
        <v>25</v>
      </c>
      <c r="C305" s="20"/>
      <c r="D305" s="21" t="s">
        <v>40</v>
      </c>
      <c r="E305" s="26">
        <v>20</v>
      </c>
      <c r="F305" s="22">
        <v>1</v>
      </c>
      <c r="G305" s="23" t="s">
        <v>20</v>
      </c>
      <c r="H305" s="22">
        <v>120</v>
      </c>
      <c r="I305" s="23" t="s">
        <v>40</v>
      </c>
      <c r="J305" s="24">
        <f>3888000/120</f>
        <v>32400</v>
      </c>
      <c r="K305" s="21" t="s">
        <v>40</v>
      </c>
      <c r="L305" s="25"/>
      <c r="M305" s="25">
        <v>0.17</v>
      </c>
      <c r="N305" s="22"/>
      <c r="O305" s="23" t="s">
        <v>40</v>
      </c>
      <c r="P305" s="20">
        <f>(C305+(E305*F305*H305))-N305</f>
        <v>2400</v>
      </c>
      <c r="Q305" s="23" t="s">
        <v>40</v>
      </c>
      <c r="R305" s="24">
        <f>P305*(J305-(J305*L305)-((J305-(J305*L305))*M305))</f>
        <v>64540800</v>
      </c>
      <c r="S305" s="24">
        <f t="shared" si="100"/>
        <v>58144864.864864863</v>
      </c>
    </row>
    <row r="306" spans="1:19" s="19" customFormat="1">
      <c r="A306" s="18" t="s">
        <v>196</v>
      </c>
      <c r="B306" s="19" t="s">
        <v>25</v>
      </c>
      <c r="C306" s="20"/>
      <c r="D306" s="21" t="s">
        <v>40</v>
      </c>
      <c r="E306" s="26">
        <v>51</v>
      </c>
      <c r="F306" s="22">
        <v>1</v>
      </c>
      <c r="G306" s="23" t="s">
        <v>20</v>
      </c>
      <c r="H306" s="22">
        <v>60</v>
      </c>
      <c r="I306" s="23" t="s">
        <v>40</v>
      </c>
      <c r="J306" s="24">
        <f>3888000/60</f>
        <v>64800</v>
      </c>
      <c r="K306" s="21" t="s">
        <v>40</v>
      </c>
      <c r="L306" s="25"/>
      <c r="M306" s="25">
        <v>0.17</v>
      </c>
      <c r="N306" s="22"/>
      <c r="O306" s="23" t="s">
        <v>40</v>
      </c>
      <c r="P306" s="20">
        <f>(C306+(E306*F306*H306))-N306</f>
        <v>3060</v>
      </c>
      <c r="Q306" s="23" t="s">
        <v>40</v>
      </c>
      <c r="R306" s="24">
        <f>P306*(J306-(J306*L306)-((J306-(J306*L306))*M306))</f>
        <v>164579040</v>
      </c>
      <c r="S306" s="24">
        <f t="shared" si="100"/>
        <v>148269405.4054054</v>
      </c>
    </row>
    <row r="307" spans="1:19" s="19" customFormat="1">
      <c r="A307" s="18"/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71" t="s">
        <v>197</v>
      </c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89" customFormat="1">
      <c r="A309" s="88" t="s">
        <v>791</v>
      </c>
      <c r="B309" s="89" t="s">
        <v>18</v>
      </c>
      <c r="C309" s="87"/>
      <c r="D309" s="90" t="s">
        <v>19</v>
      </c>
      <c r="E309" s="91"/>
      <c r="F309" s="92">
        <v>1</v>
      </c>
      <c r="G309" s="93" t="s">
        <v>20</v>
      </c>
      <c r="H309" s="92">
        <v>20</v>
      </c>
      <c r="I309" s="93" t="s">
        <v>19</v>
      </c>
      <c r="J309" s="94">
        <v>124000</v>
      </c>
      <c r="K309" s="90" t="s">
        <v>19</v>
      </c>
      <c r="L309" s="95">
        <v>0.125</v>
      </c>
      <c r="M309" s="95">
        <v>0.05</v>
      </c>
      <c r="N309" s="92"/>
      <c r="O309" s="93" t="s">
        <v>19</v>
      </c>
      <c r="P309" s="87">
        <f>(C309+(E309*F309*H309))-N309</f>
        <v>0</v>
      </c>
      <c r="Q309" s="93" t="s">
        <v>19</v>
      </c>
      <c r="R309" s="94">
        <f>P309*(J309-(J309*L309)-((J309-(J309*L309))*M309))</f>
        <v>0</v>
      </c>
      <c r="S309" s="94">
        <f t="shared" ref="S309" si="142">R309/1.11</f>
        <v>0</v>
      </c>
    </row>
    <row r="310" spans="1:19" s="89" customFormat="1">
      <c r="A310" s="88" t="s">
        <v>198</v>
      </c>
      <c r="B310" s="89" t="s">
        <v>18</v>
      </c>
      <c r="C310" s="87"/>
      <c r="D310" s="90" t="s">
        <v>19</v>
      </c>
      <c r="E310" s="91"/>
      <c r="F310" s="92">
        <v>1</v>
      </c>
      <c r="G310" s="93" t="s">
        <v>20</v>
      </c>
      <c r="H310" s="92">
        <v>5</v>
      </c>
      <c r="I310" s="93" t="s">
        <v>19</v>
      </c>
      <c r="J310" s="94">
        <v>214000</v>
      </c>
      <c r="K310" s="90" t="s">
        <v>19</v>
      </c>
      <c r="L310" s="95">
        <v>0.125</v>
      </c>
      <c r="M310" s="95">
        <v>0.05</v>
      </c>
      <c r="N310" s="92"/>
      <c r="O310" s="93" t="s">
        <v>19</v>
      </c>
      <c r="P310" s="87">
        <f>(C310+(E310*F310*H310))-N310</f>
        <v>0</v>
      </c>
      <c r="Q310" s="93" t="s">
        <v>19</v>
      </c>
      <c r="R310" s="94">
        <f>P310*(J310-(J310*L310)-((J310-(J310*L310))*M310))</f>
        <v>0</v>
      </c>
      <c r="S310" s="94">
        <f t="shared" si="100"/>
        <v>0</v>
      </c>
    </row>
    <row r="311" spans="1:19" s="19" customFormat="1">
      <c r="A311" s="18" t="s">
        <v>199</v>
      </c>
      <c r="B311" s="19" t="s">
        <v>18</v>
      </c>
      <c r="C311" s="20">
        <v>3</v>
      </c>
      <c r="D311" s="21" t="s">
        <v>19</v>
      </c>
      <c r="E311" s="26"/>
      <c r="F311" s="22">
        <v>1</v>
      </c>
      <c r="G311" s="23" t="s">
        <v>20</v>
      </c>
      <c r="H311" s="22">
        <v>5</v>
      </c>
      <c r="I311" s="23" t="s">
        <v>19</v>
      </c>
      <c r="J311" s="24">
        <v>219000</v>
      </c>
      <c r="K311" s="21" t="s">
        <v>19</v>
      </c>
      <c r="L311" s="25">
        <v>0.125</v>
      </c>
      <c r="M311" s="25">
        <v>0.05</v>
      </c>
      <c r="N311" s="22"/>
      <c r="O311" s="23" t="s">
        <v>19</v>
      </c>
      <c r="P311" s="20">
        <f>(C311+(E311*F311*H311))-N311</f>
        <v>3</v>
      </c>
      <c r="Q311" s="23" t="s">
        <v>19</v>
      </c>
      <c r="R311" s="24">
        <f>P311*(J311-(J311*L311)-((J311-(J311*L311))*M311))</f>
        <v>546131.25</v>
      </c>
      <c r="S311" s="24">
        <f t="shared" si="100"/>
        <v>492010.13513513509</v>
      </c>
    </row>
    <row r="312" spans="1:19" s="89" customFormat="1">
      <c r="A312" s="88" t="s">
        <v>200</v>
      </c>
      <c r="B312" s="89" t="s">
        <v>18</v>
      </c>
      <c r="C312" s="87"/>
      <c r="D312" s="90" t="s">
        <v>19</v>
      </c>
      <c r="E312" s="91"/>
      <c r="F312" s="92">
        <v>1</v>
      </c>
      <c r="G312" s="93" t="s">
        <v>20</v>
      </c>
      <c r="H312" s="92">
        <v>4</v>
      </c>
      <c r="I312" s="93" t="s">
        <v>19</v>
      </c>
      <c r="J312" s="94">
        <v>291000</v>
      </c>
      <c r="K312" s="90" t="s">
        <v>19</v>
      </c>
      <c r="L312" s="95">
        <v>0.125</v>
      </c>
      <c r="M312" s="95">
        <v>0.05</v>
      </c>
      <c r="N312" s="92"/>
      <c r="O312" s="93" t="s">
        <v>19</v>
      </c>
      <c r="P312" s="87">
        <f>(C312+(E312*F312*H312))-N312</f>
        <v>0</v>
      </c>
      <c r="Q312" s="93" t="s">
        <v>19</v>
      </c>
      <c r="R312" s="94">
        <f>P312*(J312-(J312*L312)-((J312-(J312*L312))*M312))</f>
        <v>0</v>
      </c>
      <c r="S312" s="94">
        <f t="shared" si="100"/>
        <v>0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89" customFormat="1">
      <c r="A314" s="88" t="s">
        <v>201</v>
      </c>
      <c r="B314" s="89" t="s">
        <v>25</v>
      </c>
      <c r="C314" s="87"/>
      <c r="D314" s="90" t="s">
        <v>19</v>
      </c>
      <c r="E314" s="91"/>
      <c r="F314" s="92">
        <v>1</v>
      </c>
      <c r="G314" s="93" t="s">
        <v>20</v>
      </c>
      <c r="H314" s="92">
        <v>5</v>
      </c>
      <c r="I314" s="93" t="s">
        <v>19</v>
      </c>
      <c r="J314" s="94">
        <f>1125000/5</f>
        <v>225000</v>
      </c>
      <c r="K314" s="90" t="s">
        <v>19</v>
      </c>
      <c r="L314" s="95"/>
      <c r="M314" s="95">
        <v>0.17</v>
      </c>
      <c r="N314" s="92"/>
      <c r="O314" s="93" t="s">
        <v>19</v>
      </c>
      <c r="P314" s="87">
        <f>(C314+(E314*F314*H314))-N314</f>
        <v>0</v>
      </c>
      <c r="Q314" s="93" t="s">
        <v>19</v>
      </c>
      <c r="R314" s="94">
        <f>P314*(J314-(J314*L314)-((J314-(J314*L314))*M314))</f>
        <v>0</v>
      </c>
      <c r="S314" s="94">
        <f t="shared" si="100"/>
        <v>0</v>
      </c>
    </row>
    <row r="315" spans="1:19" s="106" customFormat="1">
      <c r="A315" s="98" t="s">
        <v>202</v>
      </c>
      <c r="B315" s="106" t="s">
        <v>25</v>
      </c>
      <c r="C315" s="107"/>
      <c r="D315" s="108" t="s">
        <v>19</v>
      </c>
      <c r="E315" s="109">
        <v>1</v>
      </c>
      <c r="F315" s="110">
        <v>1</v>
      </c>
      <c r="G315" s="111" t="s">
        <v>20</v>
      </c>
      <c r="H315" s="110">
        <v>5</v>
      </c>
      <c r="I315" s="111" t="s">
        <v>19</v>
      </c>
      <c r="J315" s="112">
        <v>235000</v>
      </c>
      <c r="K315" s="108" t="s">
        <v>19</v>
      </c>
      <c r="L315" s="113"/>
      <c r="M315" s="113">
        <v>0.17</v>
      </c>
      <c r="N315" s="110"/>
      <c r="O315" s="111" t="s">
        <v>19</v>
      </c>
      <c r="P315" s="107">
        <f>(C315+(E315*F315*H315))-N315</f>
        <v>5</v>
      </c>
      <c r="Q315" s="111" t="s">
        <v>19</v>
      </c>
      <c r="R315" s="112">
        <f>P315*(J315-(J315*L315)-((J315-(J315*L315))*M315))</f>
        <v>975250</v>
      </c>
      <c r="S315" s="112">
        <f t="shared" ref="S315" si="143">R315/1.11</f>
        <v>878603.60360360355</v>
      </c>
    </row>
    <row r="316" spans="1:19" s="89" customFormat="1">
      <c r="A316" s="88" t="s">
        <v>202</v>
      </c>
      <c r="B316" s="89" t="s">
        <v>25</v>
      </c>
      <c r="C316" s="87"/>
      <c r="D316" s="90" t="s">
        <v>19</v>
      </c>
      <c r="E316" s="91"/>
      <c r="F316" s="92">
        <v>1</v>
      </c>
      <c r="G316" s="93" t="s">
        <v>20</v>
      </c>
      <c r="H316" s="92">
        <v>5</v>
      </c>
      <c r="I316" s="93" t="s">
        <v>19</v>
      </c>
      <c r="J316" s="94">
        <f>1125000/5</f>
        <v>225000</v>
      </c>
      <c r="K316" s="90" t="s">
        <v>19</v>
      </c>
      <c r="L316" s="95"/>
      <c r="M316" s="95">
        <v>0.17</v>
      </c>
      <c r="N316" s="92"/>
      <c r="O316" s="93" t="s">
        <v>19</v>
      </c>
      <c r="P316" s="87">
        <f>(C316+(E316*F316*H316))-N316</f>
        <v>0</v>
      </c>
      <c r="Q316" s="93" t="s">
        <v>19</v>
      </c>
      <c r="R316" s="94">
        <f>P316*(J316-(J316*L316)-((J316-(J316*L316))*M316))</f>
        <v>0</v>
      </c>
      <c r="S316" s="94">
        <f t="shared" si="100"/>
        <v>0</v>
      </c>
    </row>
    <row r="317" spans="1:19" s="89" customFormat="1">
      <c r="A317" s="88" t="s">
        <v>203</v>
      </c>
      <c r="B317" s="89" t="s">
        <v>25</v>
      </c>
      <c r="C317" s="87"/>
      <c r="D317" s="90" t="s">
        <v>19</v>
      </c>
      <c r="E317" s="91"/>
      <c r="F317" s="92">
        <v>1</v>
      </c>
      <c r="G317" s="93" t="s">
        <v>20</v>
      </c>
      <c r="H317" s="92">
        <v>4</v>
      </c>
      <c r="I317" s="93" t="s">
        <v>19</v>
      </c>
      <c r="J317" s="94">
        <f>1180000/4</f>
        <v>295000</v>
      </c>
      <c r="K317" s="90" t="s">
        <v>19</v>
      </c>
      <c r="L317" s="95"/>
      <c r="M317" s="95">
        <v>0.17</v>
      </c>
      <c r="N317" s="92"/>
      <c r="O317" s="93" t="s">
        <v>19</v>
      </c>
      <c r="P317" s="87">
        <f>(C317+(E317*F317*H317))-N317</f>
        <v>0</v>
      </c>
      <c r="Q317" s="93" t="s">
        <v>19</v>
      </c>
      <c r="R317" s="94">
        <f>P317*(J317-(J317*L317)-((J317-(J317*L317))*M317))</f>
        <v>0</v>
      </c>
      <c r="S317" s="94">
        <f t="shared" ref="S317:S407" si="144">R317/1.11</f>
        <v>0</v>
      </c>
    </row>
    <row r="318" spans="1:19" s="19" customFormat="1">
      <c r="A318" s="18"/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19" customFormat="1" ht="15.75">
      <c r="A319" s="44" t="s">
        <v>741</v>
      </c>
      <c r="C319" s="20"/>
      <c r="D319" s="21"/>
      <c r="E319" s="26"/>
      <c r="F319" s="22"/>
      <c r="G319" s="23"/>
      <c r="H319" s="22"/>
      <c r="I319" s="23"/>
      <c r="J319" s="24"/>
      <c r="K319" s="21"/>
      <c r="L319" s="25"/>
      <c r="M319" s="25"/>
      <c r="N319" s="22"/>
      <c r="O319" s="23"/>
      <c r="P319" s="20"/>
      <c r="Q319" s="23"/>
      <c r="R319" s="24"/>
      <c r="S319" s="24"/>
    </row>
    <row r="320" spans="1:19" s="19" customFormat="1">
      <c r="A320" s="18" t="s">
        <v>742</v>
      </c>
      <c r="B320" s="19" t="s">
        <v>598</v>
      </c>
      <c r="C320" s="20">
        <v>14</v>
      </c>
      <c r="D320" s="21" t="s">
        <v>19</v>
      </c>
      <c r="E320" s="26"/>
      <c r="F320" s="22">
        <v>1</v>
      </c>
      <c r="G320" s="23" t="s">
        <v>20</v>
      </c>
      <c r="H320" s="22">
        <v>48</v>
      </c>
      <c r="I320" s="23" t="s">
        <v>19</v>
      </c>
      <c r="J320" s="24">
        <v>53000</v>
      </c>
      <c r="K320" s="21" t="s">
        <v>19</v>
      </c>
      <c r="L320" s="25">
        <v>0.17499999999999999</v>
      </c>
      <c r="M320" s="25">
        <v>1.0999999999999999E-2</v>
      </c>
      <c r="N320" s="22"/>
      <c r="O320" s="23" t="s">
        <v>19</v>
      </c>
      <c r="P320" s="20">
        <f>(C320+(E320*F320*H320))-N320</f>
        <v>14</v>
      </c>
      <c r="Q320" s="23" t="s">
        <v>19</v>
      </c>
      <c r="R320" s="24">
        <f>P320*(J320-(J320*L320)-((J320-(J320*L320))*M320))</f>
        <v>605416.35</v>
      </c>
      <c r="S320" s="24">
        <f t="shared" ref="S320" si="145">R320/1.11</f>
        <v>545420.13513513503</v>
      </c>
    </row>
    <row r="321" spans="1:19" s="19" customFormat="1">
      <c r="A321" s="18"/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 ht="15.75">
      <c r="A322" s="44" t="s">
        <v>204</v>
      </c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18" t="s">
        <v>801</v>
      </c>
      <c r="B323" s="19" t="s">
        <v>18</v>
      </c>
      <c r="C323" s="20">
        <v>12</v>
      </c>
      <c r="D323" s="21" t="s">
        <v>19</v>
      </c>
      <c r="E323" s="26"/>
      <c r="F323" s="22">
        <v>8</v>
      </c>
      <c r="G323" s="23" t="s">
        <v>33</v>
      </c>
      <c r="H323" s="22">
        <v>12</v>
      </c>
      <c r="I323" s="23" t="s">
        <v>19</v>
      </c>
      <c r="J323" s="24">
        <v>11500</v>
      </c>
      <c r="K323" s="21" t="s">
        <v>19</v>
      </c>
      <c r="L323" s="25">
        <v>0.125</v>
      </c>
      <c r="M323" s="25">
        <v>0.05</v>
      </c>
      <c r="N323" s="22"/>
      <c r="O323" s="23" t="s">
        <v>19</v>
      </c>
      <c r="P323" s="20">
        <f>(C323+(E323*F323*H323))-N323</f>
        <v>12</v>
      </c>
      <c r="Q323" s="23" t="s">
        <v>19</v>
      </c>
      <c r="R323" s="24">
        <f>P323*(J323-(J323*L323)-((J323-(J323*L323))*M323))</f>
        <v>114712.5</v>
      </c>
      <c r="S323" s="24">
        <f t="shared" ref="S323" si="146">R323/1.11</f>
        <v>103344.59459459459</v>
      </c>
    </row>
    <row r="324" spans="1:19" s="19" customFormat="1">
      <c r="A324" s="18" t="s">
        <v>205</v>
      </c>
      <c r="B324" s="19" t="s">
        <v>18</v>
      </c>
      <c r="C324" s="20">
        <v>90</v>
      </c>
      <c r="D324" s="21" t="s">
        <v>19</v>
      </c>
      <c r="E324" s="26"/>
      <c r="F324" s="22">
        <v>1</v>
      </c>
      <c r="G324" s="23" t="s">
        <v>20</v>
      </c>
      <c r="H324" s="22">
        <v>90</v>
      </c>
      <c r="I324" s="23" t="s">
        <v>19</v>
      </c>
      <c r="J324" s="24">
        <v>24000</v>
      </c>
      <c r="K324" s="21" t="s">
        <v>19</v>
      </c>
      <c r="L324" s="25">
        <v>0.125</v>
      </c>
      <c r="M324" s="25">
        <v>0.05</v>
      </c>
      <c r="N324" s="22"/>
      <c r="O324" s="23" t="s">
        <v>19</v>
      </c>
      <c r="P324" s="20">
        <f>(C324+(E324*F324*H324))-N324</f>
        <v>90</v>
      </c>
      <c r="Q324" s="23" t="s">
        <v>19</v>
      </c>
      <c r="R324" s="24">
        <f>P324*(J324-(J324*L324)-((J324-(J324*L324))*M324))</f>
        <v>1795500</v>
      </c>
      <c r="S324" s="24">
        <f t="shared" si="144"/>
        <v>1617567.5675675673</v>
      </c>
    </row>
    <row r="325" spans="1:19" s="89" customFormat="1">
      <c r="A325" s="88" t="s">
        <v>206</v>
      </c>
      <c r="B325" s="89" t="s">
        <v>18</v>
      </c>
      <c r="C325" s="87"/>
      <c r="D325" s="90" t="s">
        <v>19</v>
      </c>
      <c r="E325" s="91"/>
      <c r="F325" s="92">
        <v>1</v>
      </c>
      <c r="G325" s="93" t="s">
        <v>20</v>
      </c>
      <c r="H325" s="92">
        <v>48</v>
      </c>
      <c r="I325" s="93" t="s">
        <v>19</v>
      </c>
      <c r="J325" s="94">
        <v>24900</v>
      </c>
      <c r="K325" s="90" t="s">
        <v>19</v>
      </c>
      <c r="L325" s="95">
        <v>0.125</v>
      </c>
      <c r="M325" s="95">
        <v>0.05</v>
      </c>
      <c r="N325" s="92"/>
      <c r="O325" s="93" t="s">
        <v>19</v>
      </c>
      <c r="P325" s="87">
        <f>(C325+(E325*F325*H325))-N325</f>
        <v>0</v>
      </c>
      <c r="Q325" s="93" t="s">
        <v>19</v>
      </c>
      <c r="R325" s="94">
        <f>P325*(J325-(J325*L325)-((J325-(J325*L325))*M325))</f>
        <v>0</v>
      </c>
      <c r="S325" s="94">
        <f t="shared" si="144"/>
        <v>0</v>
      </c>
    </row>
    <row r="326" spans="1:19" s="19" customFormat="1">
      <c r="A326" s="18" t="s">
        <v>842</v>
      </c>
      <c r="B326" s="19" t="s">
        <v>18</v>
      </c>
      <c r="C326" s="20"/>
      <c r="D326" s="21" t="s">
        <v>19</v>
      </c>
      <c r="E326" s="26">
        <v>1</v>
      </c>
      <c r="F326" s="22">
        <v>1</v>
      </c>
      <c r="G326" s="23" t="s">
        <v>20</v>
      </c>
      <c r="H326" s="22">
        <v>50</v>
      </c>
      <c r="I326" s="23" t="s">
        <v>19</v>
      </c>
      <c r="J326" s="24">
        <v>20500</v>
      </c>
      <c r="K326" s="21" t="s">
        <v>19</v>
      </c>
      <c r="L326" s="25">
        <v>0.125</v>
      </c>
      <c r="M326" s="25">
        <v>0.05</v>
      </c>
      <c r="N326" s="22"/>
      <c r="O326" s="23" t="s">
        <v>19</v>
      </c>
      <c r="P326" s="20">
        <f>(C326+(E326*F326*H326))-N326</f>
        <v>50</v>
      </c>
      <c r="Q326" s="23" t="s">
        <v>19</v>
      </c>
      <c r="R326" s="24">
        <f>P326*(J326-(J326*L326)-((J326-(J326*L326))*M326))</f>
        <v>852031.25</v>
      </c>
      <c r="S326" s="24">
        <f t="shared" ref="S326" si="147">R326/1.11</f>
        <v>767595.72072072071</v>
      </c>
    </row>
    <row r="327" spans="1:19" s="19" customFormat="1">
      <c r="A327" s="18"/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89" customFormat="1">
      <c r="A328" s="88" t="s">
        <v>207</v>
      </c>
      <c r="B328" s="89" t="s">
        <v>25</v>
      </c>
      <c r="C328" s="87"/>
      <c r="D328" s="90" t="s">
        <v>19</v>
      </c>
      <c r="E328" s="91"/>
      <c r="F328" s="92">
        <v>1</v>
      </c>
      <c r="G328" s="93" t="s">
        <v>20</v>
      </c>
      <c r="H328" s="92">
        <v>24</v>
      </c>
      <c r="I328" s="93" t="s">
        <v>19</v>
      </c>
      <c r="J328" s="94">
        <f>720000/24</f>
        <v>30000</v>
      </c>
      <c r="K328" s="90" t="s">
        <v>19</v>
      </c>
      <c r="L328" s="95"/>
      <c r="M328" s="95">
        <v>0.17</v>
      </c>
      <c r="N328" s="92"/>
      <c r="O328" s="93" t="s">
        <v>19</v>
      </c>
      <c r="P328" s="87">
        <f>(C328+(E328*F328*H328))-N328</f>
        <v>0</v>
      </c>
      <c r="Q328" s="93" t="s">
        <v>19</v>
      </c>
      <c r="R328" s="94">
        <f>P328*(J328-(J328*L328)-((J328-(J328*L328))*M328))</f>
        <v>0</v>
      </c>
      <c r="S328" s="94">
        <f t="shared" si="144"/>
        <v>0</v>
      </c>
    </row>
    <row r="329" spans="1:19" s="19" customFormat="1">
      <c r="A329" s="18" t="s">
        <v>208</v>
      </c>
      <c r="B329" s="19" t="s">
        <v>25</v>
      </c>
      <c r="C329" s="20">
        <v>112</v>
      </c>
      <c r="D329" s="21" t="s">
        <v>19</v>
      </c>
      <c r="E329" s="26"/>
      <c r="F329" s="22">
        <v>1</v>
      </c>
      <c r="G329" s="23" t="s">
        <v>20</v>
      </c>
      <c r="H329" s="22">
        <v>48</v>
      </c>
      <c r="I329" s="23" t="s">
        <v>19</v>
      </c>
      <c r="J329" s="24">
        <f>1152000/48</f>
        <v>24000</v>
      </c>
      <c r="K329" s="21" t="s">
        <v>19</v>
      </c>
      <c r="L329" s="25"/>
      <c r="M329" s="25">
        <v>0.17</v>
      </c>
      <c r="N329" s="22"/>
      <c r="O329" s="23" t="s">
        <v>19</v>
      </c>
      <c r="P329" s="20">
        <f>(C329+(E329*F329*H329))-N329</f>
        <v>112</v>
      </c>
      <c r="Q329" s="23" t="s">
        <v>19</v>
      </c>
      <c r="R329" s="24">
        <f>P329*(J329-(J329*L329)-((J329-(J329*L329))*M329))</f>
        <v>2231040</v>
      </c>
      <c r="S329" s="24">
        <f t="shared" si="144"/>
        <v>2009945.9459459458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 ht="15.75">
      <c r="A331" s="44" t="s">
        <v>209</v>
      </c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71" t="s">
        <v>761</v>
      </c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89" customFormat="1">
      <c r="A333" s="88" t="s">
        <v>762</v>
      </c>
      <c r="B333" s="89" t="s">
        <v>25</v>
      </c>
      <c r="C333" s="87"/>
      <c r="D333" s="90" t="s">
        <v>40</v>
      </c>
      <c r="E333" s="91"/>
      <c r="F333" s="92">
        <v>1</v>
      </c>
      <c r="G333" s="93" t="s">
        <v>20</v>
      </c>
      <c r="H333" s="92">
        <v>40</v>
      </c>
      <c r="I333" s="93" t="s">
        <v>40</v>
      </c>
      <c r="J333" s="94">
        <v>32400</v>
      </c>
      <c r="K333" s="90" t="s">
        <v>40</v>
      </c>
      <c r="L333" s="95"/>
      <c r="M333" s="95">
        <v>0.17</v>
      </c>
      <c r="N333" s="92"/>
      <c r="O333" s="93" t="s">
        <v>40</v>
      </c>
      <c r="P333" s="87">
        <f>(C333+(E333*F333*H333))-N333</f>
        <v>0</v>
      </c>
      <c r="Q333" s="93" t="s">
        <v>40</v>
      </c>
      <c r="R333" s="94">
        <f>P333*(J333-(J333*L333)-((J333-(J333*L333))*M333))</f>
        <v>0</v>
      </c>
      <c r="S333" s="94">
        <f t="shared" ref="S333" si="148">R333/1.11</f>
        <v>0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19" customFormat="1">
      <c r="A335" s="71" t="s">
        <v>210</v>
      </c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89" customFormat="1">
      <c r="A336" s="88" t="s">
        <v>211</v>
      </c>
      <c r="B336" s="89" t="s">
        <v>18</v>
      </c>
      <c r="C336" s="87"/>
      <c r="D336" s="90" t="s">
        <v>19</v>
      </c>
      <c r="E336" s="91"/>
      <c r="F336" s="92">
        <v>1</v>
      </c>
      <c r="G336" s="93" t="s">
        <v>20</v>
      </c>
      <c r="H336" s="92">
        <v>40</v>
      </c>
      <c r="I336" s="93" t="s">
        <v>19</v>
      </c>
      <c r="J336" s="94">
        <v>38500</v>
      </c>
      <c r="K336" s="90" t="s">
        <v>19</v>
      </c>
      <c r="L336" s="95">
        <v>0.125</v>
      </c>
      <c r="M336" s="95">
        <v>0.05</v>
      </c>
      <c r="N336" s="92"/>
      <c r="O336" s="93" t="s">
        <v>19</v>
      </c>
      <c r="P336" s="87">
        <f>(C336+(E336*F336*H336))-N336</f>
        <v>0</v>
      </c>
      <c r="Q336" s="93" t="s">
        <v>19</v>
      </c>
      <c r="R336" s="94">
        <f>P336*(J336-(J336*L336)-((J336-(J336*L336))*M336))</f>
        <v>0</v>
      </c>
      <c r="S336" s="94">
        <f t="shared" si="144"/>
        <v>0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>
      <c r="A338" s="71" t="s">
        <v>212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18" t="s">
        <v>731</v>
      </c>
      <c r="B339" s="19" t="s">
        <v>18</v>
      </c>
      <c r="C339" s="20">
        <v>361</v>
      </c>
      <c r="D339" s="21" t="s">
        <v>19</v>
      </c>
      <c r="E339" s="26"/>
      <c r="F339" s="22">
        <v>1</v>
      </c>
      <c r="G339" s="23" t="s">
        <v>20</v>
      </c>
      <c r="H339" s="22">
        <v>48</v>
      </c>
      <c r="I339" s="23" t="s">
        <v>19</v>
      </c>
      <c r="J339" s="24">
        <v>17600</v>
      </c>
      <c r="K339" s="21" t="s">
        <v>19</v>
      </c>
      <c r="L339" s="25">
        <v>0.125</v>
      </c>
      <c r="M339" s="25">
        <v>0.05</v>
      </c>
      <c r="N339" s="22"/>
      <c r="O339" s="23" t="s">
        <v>19</v>
      </c>
      <c r="P339" s="20">
        <f>(C339+(E339*F339*H339))-N339</f>
        <v>361</v>
      </c>
      <c r="Q339" s="23" t="s">
        <v>19</v>
      </c>
      <c r="R339" s="24">
        <f>P339*(J339-(J339*L339)-((J339-(J339*L339))*M339))</f>
        <v>5281430</v>
      </c>
      <c r="S339" s="24">
        <f t="shared" si="144"/>
        <v>4758045.0450450443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44" t="s">
        <v>213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71" t="s">
        <v>214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19" customFormat="1">
      <c r="A343" s="18" t="s">
        <v>215</v>
      </c>
      <c r="B343" s="19" t="s">
        <v>25</v>
      </c>
      <c r="C343" s="20">
        <v>9</v>
      </c>
      <c r="D343" s="21" t="s">
        <v>40</v>
      </c>
      <c r="E343" s="26"/>
      <c r="F343" s="22">
        <v>1</v>
      </c>
      <c r="G343" s="23" t="s">
        <v>20</v>
      </c>
      <c r="H343" s="22">
        <v>50</v>
      </c>
      <c r="I343" s="23" t="s">
        <v>40</v>
      </c>
      <c r="J343" s="24">
        <f>1800000/50</f>
        <v>36000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ref="P343:P349" si="149">(C343+(E343*F343*H343))-N343</f>
        <v>9</v>
      </c>
      <c r="Q343" s="23" t="s">
        <v>40</v>
      </c>
      <c r="R343" s="24">
        <f t="shared" ref="R343:R349" si="150">P343*(J343-(J343*L343)-((J343-(J343*L343))*M343))</f>
        <v>268920</v>
      </c>
      <c r="S343" s="24">
        <f t="shared" si="144"/>
        <v>242270.27027027024</v>
      </c>
    </row>
    <row r="344" spans="1:19" s="89" customFormat="1">
      <c r="A344" s="88" t="s">
        <v>749</v>
      </c>
      <c r="B344" s="89" t="s">
        <v>25</v>
      </c>
      <c r="C344" s="87"/>
      <c r="D344" s="90" t="s">
        <v>40</v>
      </c>
      <c r="E344" s="91"/>
      <c r="F344" s="92">
        <v>1</v>
      </c>
      <c r="G344" s="93" t="s">
        <v>20</v>
      </c>
      <c r="H344" s="92">
        <v>25</v>
      </c>
      <c r="I344" s="93" t="s">
        <v>40</v>
      </c>
      <c r="J344" s="94">
        <f>1672500/25</f>
        <v>66900</v>
      </c>
      <c r="K344" s="90" t="s">
        <v>40</v>
      </c>
      <c r="L344" s="95"/>
      <c r="M344" s="95">
        <v>0.17</v>
      </c>
      <c r="N344" s="92"/>
      <c r="O344" s="93" t="s">
        <v>40</v>
      </c>
      <c r="P344" s="87">
        <f t="shared" si="149"/>
        <v>0</v>
      </c>
      <c r="Q344" s="93" t="s">
        <v>40</v>
      </c>
      <c r="R344" s="94">
        <f t="shared" si="150"/>
        <v>0</v>
      </c>
      <c r="S344" s="94">
        <f t="shared" si="144"/>
        <v>0</v>
      </c>
    </row>
    <row r="345" spans="1:19" s="19" customFormat="1">
      <c r="A345" s="18" t="s">
        <v>216</v>
      </c>
      <c r="B345" s="19" t="s">
        <v>25</v>
      </c>
      <c r="C345" s="20">
        <v>43</v>
      </c>
      <c r="D345" s="21" t="s">
        <v>40</v>
      </c>
      <c r="E345" s="26">
        <v>2</v>
      </c>
      <c r="F345" s="22">
        <v>1</v>
      </c>
      <c r="G345" s="23" t="s">
        <v>20</v>
      </c>
      <c r="H345" s="22">
        <v>25</v>
      </c>
      <c r="I345" s="23" t="s">
        <v>40</v>
      </c>
      <c r="J345" s="24">
        <f>2100000/25</f>
        <v>84000</v>
      </c>
      <c r="K345" s="21" t="s">
        <v>40</v>
      </c>
      <c r="L345" s="25"/>
      <c r="M345" s="25">
        <v>0.17</v>
      </c>
      <c r="N345" s="22"/>
      <c r="O345" s="23" t="s">
        <v>40</v>
      </c>
      <c r="P345" s="20">
        <f t="shared" si="149"/>
        <v>93</v>
      </c>
      <c r="Q345" s="23" t="s">
        <v>40</v>
      </c>
      <c r="R345" s="24">
        <f t="shared" si="150"/>
        <v>6483960</v>
      </c>
      <c r="S345" s="24">
        <f t="shared" si="144"/>
        <v>5841405.405405405</v>
      </c>
    </row>
    <row r="346" spans="1:19" s="19" customFormat="1">
      <c r="A346" s="18" t="s">
        <v>217</v>
      </c>
      <c r="B346" s="19" t="s">
        <v>25</v>
      </c>
      <c r="C346" s="20">
        <v>8</v>
      </c>
      <c r="D346" s="21" t="s">
        <v>40</v>
      </c>
      <c r="E346" s="26"/>
      <c r="F346" s="22">
        <v>1</v>
      </c>
      <c r="G346" s="23" t="s">
        <v>20</v>
      </c>
      <c r="H346" s="22">
        <v>10</v>
      </c>
      <c r="I346" s="23" t="s">
        <v>40</v>
      </c>
      <c r="J346" s="24">
        <f>1632000/10</f>
        <v>163200</v>
      </c>
      <c r="K346" s="21" t="s">
        <v>40</v>
      </c>
      <c r="L346" s="25"/>
      <c r="M346" s="25">
        <v>0.17</v>
      </c>
      <c r="N346" s="22"/>
      <c r="O346" s="23" t="s">
        <v>40</v>
      </c>
      <c r="P346" s="20">
        <f t="shared" si="149"/>
        <v>8</v>
      </c>
      <c r="Q346" s="23" t="s">
        <v>40</v>
      </c>
      <c r="R346" s="24">
        <f t="shared" si="150"/>
        <v>1083648</v>
      </c>
      <c r="S346" s="24">
        <f t="shared" si="144"/>
        <v>976259.45945945941</v>
      </c>
    </row>
    <row r="347" spans="1:19" s="19" customFormat="1">
      <c r="A347" s="18" t="s">
        <v>218</v>
      </c>
      <c r="B347" s="19" t="s">
        <v>25</v>
      </c>
      <c r="C347" s="20">
        <v>7</v>
      </c>
      <c r="D347" s="21" t="s">
        <v>40</v>
      </c>
      <c r="E347" s="26"/>
      <c r="F347" s="22">
        <v>1</v>
      </c>
      <c r="G347" s="23" t="s">
        <v>20</v>
      </c>
      <c r="H347" s="22">
        <v>10</v>
      </c>
      <c r="I347" s="23" t="s">
        <v>40</v>
      </c>
      <c r="J347" s="24">
        <f>2028000/10</f>
        <v>202800</v>
      </c>
      <c r="K347" s="21" t="s">
        <v>40</v>
      </c>
      <c r="L347" s="25"/>
      <c r="M347" s="25">
        <v>0.17</v>
      </c>
      <c r="N347" s="22"/>
      <c r="O347" s="23" t="s">
        <v>40</v>
      </c>
      <c r="P347" s="20">
        <f t="shared" si="149"/>
        <v>7</v>
      </c>
      <c r="Q347" s="23" t="s">
        <v>40</v>
      </c>
      <c r="R347" s="24">
        <f t="shared" si="150"/>
        <v>1178268</v>
      </c>
      <c r="S347" s="24">
        <f t="shared" si="144"/>
        <v>1061502.7027027027</v>
      </c>
    </row>
    <row r="348" spans="1:19" s="19" customFormat="1">
      <c r="A348" s="18" t="s">
        <v>219</v>
      </c>
      <c r="B348" s="19" t="s">
        <v>25</v>
      </c>
      <c r="C348" s="20">
        <v>2</v>
      </c>
      <c r="D348" s="21" t="s">
        <v>40</v>
      </c>
      <c r="E348" s="26"/>
      <c r="F348" s="22">
        <v>1</v>
      </c>
      <c r="G348" s="23" t="s">
        <v>20</v>
      </c>
      <c r="H348" s="22">
        <v>10</v>
      </c>
      <c r="I348" s="23" t="s">
        <v>40</v>
      </c>
      <c r="J348" s="24">
        <f>2520000/10</f>
        <v>252000</v>
      </c>
      <c r="K348" s="21" t="s">
        <v>40</v>
      </c>
      <c r="L348" s="25"/>
      <c r="M348" s="25">
        <v>0.17</v>
      </c>
      <c r="N348" s="22"/>
      <c r="O348" s="23" t="s">
        <v>40</v>
      </c>
      <c r="P348" s="20">
        <f t="shared" si="149"/>
        <v>2</v>
      </c>
      <c r="Q348" s="23" t="s">
        <v>40</v>
      </c>
      <c r="R348" s="24">
        <f t="shared" si="150"/>
        <v>418320</v>
      </c>
      <c r="S348" s="24">
        <f t="shared" si="144"/>
        <v>376864.86486486485</v>
      </c>
    </row>
    <row r="349" spans="1:19" s="19" customFormat="1">
      <c r="A349" s="18" t="s">
        <v>220</v>
      </c>
      <c r="B349" s="19" t="s">
        <v>25</v>
      </c>
      <c r="C349" s="20">
        <v>108</v>
      </c>
      <c r="D349" s="21" t="s">
        <v>19</v>
      </c>
      <c r="E349" s="26"/>
      <c r="F349" s="22">
        <v>10</v>
      </c>
      <c r="G349" s="23" t="s">
        <v>40</v>
      </c>
      <c r="H349" s="22">
        <v>12</v>
      </c>
      <c r="I349" s="23" t="s">
        <v>19</v>
      </c>
      <c r="J349" s="24">
        <f>5220000/10/12</f>
        <v>43500</v>
      </c>
      <c r="K349" s="21" t="s">
        <v>19</v>
      </c>
      <c r="L349" s="25"/>
      <c r="M349" s="25">
        <v>0.17</v>
      </c>
      <c r="N349" s="22"/>
      <c r="O349" s="23" t="s">
        <v>19</v>
      </c>
      <c r="P349" s="20">
        <f t="shared" si="149"/>
        <v>108</v>
      </c>
      <c r="Q349" s="23" t="s">
        <v>19</v>
      </c>
      <c r="R349" s="24">
        <f t="shared" si="150"/>
        <v>3899340</v>
      </c>
      <c r="S349" s="24">
        <f t="shared" si="144"/>
        <v>3512918.9189189188</v>
      </c>
    </row>
    <row r="350" spans="1:19" s="19" customFormat="1">
      <c r="A350" s="18"/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>
      <c r="A351" s="71" t="s">
        <v>665</v>
      </c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18" t="s">
        <v>760</v>
      </c>
      <c r="B352" s="19" t="s">
        <v>172</v>
      </c>
      <c r="C352" s="20">
        <v>408</v>
      </c>
      <c r="D352" s="21" t="s">
        <v>40</v>
      </c>
      <c r="E352" s="26"/>
      <c r="F352" s="22">
        <v>20</v>
      </c>
      <c r="G352" s="23" t="s">
        <v>33</v>
      </c>
      <c r="H352" s="22">
        <v>4</v>
      </c>
      <c r="I352" s="23" t="s">
        <v>40</v>
      </c>
      <c r="J352" s="24">
        <f>1400*12</f>
        <v>16800</v>
      </c>
      <c r="K352" s="21" t="s">
        <v>40</v>
      </c>
      <c r="L352" s="25">
        <v>0.05</v>
      </c>
      <c r="M352" s="25"/>
      <c r="N352" s="22"/>
      <c r="O352" s="23" t="s">
        <v>40</v>
      </c>
      <c r="P352" s="20">
        <f>(C352+(E352*F352*H352))-N352</f>
        <v>408</v>
      </c>
      <c r="Q352" s="23" t="s">
        <v>40</v>
      </c>
      <c r="R352" s="24">
        <f>P352*(J352-(J352*L352)-((J352-(J352*L352))*M352))</f>
        <v>6511680</v>
      </c>
      <c r="S352" s="24">
        <f t="shared" ref="S352" si="151">R352/1.11</f>
        <v>5866378.3783783782</v>
      </c>
    </row>
    <row r="353" spans="1:19" s="19" customFormat="1" ht="15.75">
      <c r="A353" s="72"/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 ht="15.75">
      <c r="A354" s="44" t="s">
        <v>221</v>
      </c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89" customFormat="1">
      <c r="A355" s="88" t="s">
        <v>222</v>
      </c>
      <c r="B355" s="89" t="s">
        <v>18</v>
      </c>
      <c r="C355" s="87"/>
      <c r="D355" s="90" t="s">
        <v>19</v>
      </c>
      <c r="E355" s="91"/>
      <c r="F355" s="92">
        <v>12</v>
      </c>
      <c r="G355" s="93" t="s">
        <v>33</v>
      </c>
      <c r="H355" s="92">
        <v>12</v>
      </c>
      <c r="I355" s="93" t="s">
        <v>19</v>
      </c>
      <c r="J355" s="94">
        <f>52500/12</f>
        <v>4375</v>
      </c>
      <c r="K355" s="90" t="s">
        <v>19</v>
      </c>
      <c r="L355" s="95">
        <v>0.125</v>
      </c>
      <c r="M355" s="95">
        <v>0.05</v>
      </c>
      <c r="N355" s="92"/>
      <c r="O355" s="93" t="s">
        <v>19</v>
      </c>
      <c r="P355" s="87">
        <f t="shared" ref="P355:P367" si="152">(C355+(E355*F355*H355))-N355</f>
        <v>0</v>
      </c>
      <c r="Q355" s="93" t="s">
        <v>19</v>
      </c>
      <c r="R355" s="94">
        <f t="shared" ref="R355:R367" si="153">P355*(J355-(J355*L355)-((J355-(J355*L355))*M355))</f>
        <v>0</v>
      </c>
      <c r="S355" s="94">
        <f t="shared" ref="S355" si="154">R355/1.11</f>
        <v>0</v>
      </c>
    </row>
    <row r="356" spans="1:19" s="19" customFormat="1">
      <c r="A356" s="18" t="s">
        <v>827</v>
      </c>
      <c r="B356" s="19" t="s">
        <v>18</v>
      </c>
      <c r="C356" s="20"/>
      <c r="D356" s="21" t="s">
        <v>19</v>
      </c>
      <c r="E356" s="26">
        <v>1</v>
      </c>
      <c r="F356" s="22">
        <v>12</v>
      </c>
      <c r="G356" s="23" t="s">
        <v>33</v>
      </c>
      <c r="H356" s="22">
        <v>12</v>
      </c>
      <c r="I356" s="23" t="s">
        <v>19</v>
      </c>
      <c r="J356" s="24">
        <v>7200</v>
      </c>
      <c r="K356" s="21" t="s">
        <v>19</v>
      </c>
      <c r="L356" s="25">
        <v>0.125</v>
      </c>
      <c r="M356" s="25">
        <v>0.05</v>
      </c>
      <c r="N356" s="22"/>
      <c r="O356" s="23" t="s">
        <v>19</v>
      </c>
      <c r="P356" s="20">
        <f t="shared" ref="P356" si="155">(C356+(E356*F356*H356))-N356</f>
        <v>144</v>
      </c>
      <c r="Q356" s="23" t="s">
        <v>19</v>
      </c>
      <c r="R356" s="24">
        <f>P356*(J356-(J356*L356)-((J356-(J356*L356))*M356))</f>
        <v>861840</v>
      </c>
      <c r="S356" s="24">
        <f t="shared" ref="S356" si="156">R356/1.11</f>
        <v>776432.43243243231</v>
      </c>
    </row>
    <row r="357" spans="1:19" s="19" customFormat="1">
      <c r="A357" s="18" t="s">
        <v>223</v>
      </c>
      <c r="B357" s="19" t="s">
        <v>18</v>
      </c>
      <c r="C357" s="20">
        <v>288</v>
      </c>
      <c r="D357" s="21" t="s">
        <v>19</v>
      </c>
      <c r="E357" s="26"/>
      <c r="F357" s="22">
        <v>12</v>
      </c>
      <c r="G357" s="23" t="s">
        <v>33</v>
      </c>
      <c r="H357" s="22">
        <v>12</v>
      </c>
      <c r="I357" s="23" t="s">
        <v>19</v>
      </c>
      <c r="J357" s="24">
        <v>20500</v>
      </c>
      <c r="K357" s="21" t="s">
        <v>19</v>
      </c>
      <c r="L357" s="25">
        <v>0.125</v>
      </c>
      <c r="M357" s="25">
        <v>0.05</v>
      </c>
      <c r="N357" s="22"/>
      <c r="O357" s="23" t="s">
        <v>19</v>
      </c>
      <c r="P357" s="20">
        <f t="shared" si="152"/>
        <v>288</v>
      </c>
      <c r="Q357" s="23" t="s">
        <v>19</v>
      </c>
      <c r="R357" s="24">
        <f t="shared" si="153"/>
        <v>4907700</v>
      </c>
      <c r="S357" s="24">
        <f t="shared" si="144"/>
        <v>4421351.3513513505</v>
      </c>
    </row>
    <row r="358" spans="1:19" s="19" customFormat="1">
      <c r="A358" s="18" t="s">
        <v>224</v>
      </c>
      <c r="B358" s="19" t="s">
        <v>18</v>
      </c>
      <c r="C358" s="20">
        <v>276</v>
      </c>
      <c r="D358" s="21" t="s">
        <v>19</v>
      </c>
      <c r="E358" s="26"/>
      <c r="F358" s="22">
        <v>12</v>
      </c>
      <c r="G358" s="23" t="s">
        <v>33</v>
      </c>
      <c r="H358" s="22">
        <v>12</v>
      </c>
      <c r="I358" s="23" t="s">
        <v>19</v>
      </c>
      <c r="J358" s="24">
        <v>22000</v>
      </c>
      <c r="K358" s="21" t="s">
        <v>19</v>
      </c>
      <c r="L358" s="25">
        <v>0.125</v>
      </c>
      <c r="M358" s="25">
        <v>0.05</v>
      </c>
      <c r="N358" s="22"/>
      <c r="O358" s="23" t="s">
        <v>19</v>
      </c>
      <c r="P358" s="20">
        <f t="shared" si="152"/>
        <v>276</v>
      </c>
      <c r="Q358" s="23" t="s">
        <v>19</v>
      </c>
      <c r="R358" s="24">
        <f t="shared" si="153"/>
        <v>5047350</v>
      </c>
      <c r="S358" s="24">
        <f t="shared" si="144"/>
        <v>4547162.1621621614</v>
      </c>
    </row>
    <row r="359" spans="1:19" s="19" customFormat="1">
      <c r="A359" s="18" t="s">
        <v>225</v>
      </c>
      <c r="B359" s="19" t="s">
        <v>18</v>
      </c>
      <c r="C359" s="20">
        <v>1464</v>
      </c>
      <c r="D359" s="21" t="s">
        <v>19</v>
      </c>
      <c r="E359" s="26">
        <v>27</v>
      </c>
      <c r="F359" s="22">
        <v>12</v>
      </c>
      <c r="G359" s="23" t="s">
        <v>33</v>
      </c>
      <c r="H359" s="22">
        <v>12</v>
      </c>
      <c r="I359" s="23" t="s">
        <v>19</v>
      </c>
      <c r="J359" s="24">
        <v>4350</v>
      </c>
      <c r="K359" s="21" t="s">
        <v>19</v>
      </c>
      <c r="L359" s="25">
        <v>0.125</v>
      </c>
      <c r="M359" s="25">
        <v>0.05</v>
      </c>
      <c r="N359" s="22"/>
      <c r="O359" s="23" t="s">
        <v>19</v>
      </c>
      <c r="P359" s="20">
        <f t="shared" si="152"/>
        <v>5352</v>
      </c>
      <c r="Q359" s="23" t="s">
        <v>19</v>
      </c>
      <c r="R359" s="24">
        <f t="shared" si="153"/>
        <v>19352497.5</v>
      </c>
      <c r="S359" s="24">
        <f t="shared" si="144"/>
        <v>17434682.432432432</v>
      </c>
    </row>
    <row r="360" spans="1:19" s="19" customFormat="1">
      <c r="A360" s="18" t="s">
        <v>226</v>
      </c>
      <c r="B360" s="19" t="s">
        <v>18</v>
      </c>
      <c r="C360" s="20"/>
      <c r="D360" s="21" t="s">
        <v>19</v>
      </c>
      <c r="E360" s="26">
        <v>28</v>
      </c>
      <c r="F360" s="22">
        <v>12</v>
      </c>
      <c r="G360" s="23" t="s">
        <v>33</v>
      </c>
      <c r="H360" s="22">
        <v>12</v>
      </c>
      <c r="I360" s="23" t="s">
        <v>19</v>
      </c>
      <c r="J360" s="24">
        <v>6500</v>
      </c>
      <c r="K360" s="21" t="s">
        <v>19</v>
      </c>
      <c r="L360" s="25">
        <v>0.125</v>
      </c>
      <c r="M360" s="25">
        <v>0.05</v>
      </c>
      <c r="N360" s="22"/>
      <c r="O360" s="23" t="s">
        <v>19</v>
      </c>
      <c r="P360" s="20">
        <f t="shared" si="152"/>
        <v>4032</v>
      </c>
      <c r="Q360" s="23" t="s">
        <v>19</v>
      </c>
      <c r="R360" s="24">
        <f t="shared" si="153"/>
        <v>21785400</v>
      </c>
      <c r="S360" s="24">
        <f t="shared" si="144"/>
        <v>19626486.486486483</v>
      </c>
    </row>
    <row r="361" spans="1:19" s="19" customFormat="1">
      <c r="A361" s="18" t="s">
        <v>227</v>
      </c>
      <c r="B361" s="19" t="s">
        <v>18</v>
      </c>
      <c r="C361" s="20"/>
      <c r="D361" s="21" t="s">
        <v>19</v>
      </c>
      <c r="E361" s="26">
        <v>18</v>
      </c>
      <c r="F361" s="22">
        <v>12</v>
      </c>
      <c r="G361" s="23" t="s">
        <v>33</v>
      </c>
      <c r="H361" s="22">
        <v>12</v>
      </c>
      <c r="I361" s="23" t="s">
        <v>19</v>
      </c>
      <c r="J361" s="24">
        <v>9750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 t="shared" si="152"/>
        <v>2592</v>
      </c>
      <c r="Q361" s="23" t="s">
        <v>19</v>
      </c>
      <c r="R361" s="24">
        <f t="shared" si="153"/>
        <v>21007350</v>
      </c>
      <c r="S361" s="24">
        <f t="shared" si="144"/>
        <v>18925540.540540539</v>
      </c>
    </row>
    <row r="362" spans="1:19" s="89" customFormat="1">
      <c r="A362" s="88" t="s">
        <v>228</v>
      </c>
      <c r="B362" s="89" t="s">
        <v>18</v>
      </c>
      <c r="C362" s="87"/>
      <c r="D362" s="90" t="s">
        <v>19</v>
      </c>
      <c r="E362" s="91"/>
      <c r="F362" s="92">
        <v>6</v>
      </c>
      <c r="G362" s="93" t="s">
        <v>33</v>
      </c>
      <c r="H362" s="92">
        <v>12</v>
      </c>
      <c r="I362" s="93" t="s">
        <v>19</v>
      </c>
      <c r="J362" s="94">
        <v>19200</v>
      </c>
      <c r="K362" s="90" t="s">
        <v>19</v>
      </c>
      <c r="L362" s="95">
        <v>0.125</v>
      </c>
      <c r="M362" s="95">
        <v>0.05</v>
      </c>
      <c r="N362" s="92"/>
      <c r="O362" s="93" t="s">
        <v>19</v>
      </c>
      <c r="P362" s="87">
        <f t="shared" si="152"/>
        <v>0</v>
      </c>
      <c r="Q362" s="93" t="s">
        <v>19</v>
      </c>
      <c r="R362" s="94">
        <f t="shared" si="153"/>
        <v>0</v>
      </c>
      <c r="S362" s="94">
        <f t="shared" si="144"/>
        <v>0</v>
      </c>
    </row>
    <row r="363" spans="1:19" s="19" customFormat="1">
      <c r="A363" s="18" t="s">
        <v>229</v>
      </c>
      <c r="B363" s="19" t="s">
        <v>18</v>
      </c>
      <c r="C363" s="20"/>
      <c r="D363" s="21" t="s">
        <v>19</v>
      </c>
      <c r="E363" s="26">
        <v>3</v>
      </c>
      <c r="F363" s="22">
        <v>12</v>
      </c>
      <c r="G363" s="23" t="s">
        <v>33</v>
      </c>
      <c r="H363" s="22">
        <v>12</v>
      </c>
      <c r="I363" s="23" t="s">
        <v>19</v>
      </c>
      <c r="J363" s="24">
        <v>6100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 t="shared" ref="P363" si="157">(C363+(E363*F363*H363))-N363</f>
        <v>432</v>
      </c>
      <c r="Q363" s="23" t="s">
        <v>19</v>
      </c>
      <c r="R363" s="24">
        <f t="shared" ref="R363" si="158">P363*(J363-(J363*L363)-((J363-(J363*L363))*M363))</f>
        <v>2190510</v>
      </c>
      <c r="S363" s="24">
        <f t="shared" ref="S363" si="159">R363/1.11</f>
        <v>1973432.4324324322</v>
      </c>
    </row>
    <row r="364" spans="1:19" s="19" customFormat="1">
      <c r="A364" s="18" t="s">
        <v>230</v>
      </c>
      <c r="B364" s="19" t="s">
        <v>18</v>
      </c>
      <c r="C364" s="20"/>
      <c r="D364" s="21" t="s">
        <v>19</v>
      </c>
      <c r="E364" s="26">
        <v>3</v>
      </c>
      <c r="F364" s="22">
        <v>12</v>
      </c>
      <c r="G364" s="23" t="s">
        <v>33</v>
      </c>
      <c r="H364" s="22">
        <v>12</v>
      </c>
      <c r="I364" s="23" t="s">
        <v>19</v>
      </c>
      <c r="J364" s="24">
        <v>7700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 t="shared" si="152"/>
        <v>432</v>
      </c>
      <c r="Q364" s="23" t="s">
        <v>19</v>
      </c>
      <c r="R364" s="24">
        <f t="shared" si="153"/>
        <v>2765070</v>
      </c>
      <c r="S364" s="24">
        <f t="shared" si="144"/>
        <v>2491054.054054054</v>
      </c>
    </row>
    <row r="365" spans="1:19" s="89" customFormat="1" ht="15">
      <c r="A365" s="88" t="s">
        <v>231</v>
      </c>
      <c r="B365" s="89" t="s">
        <v>18</v>
      </c>
      <c r="C365" s="146"/>
      <c r="D365" s="90" t="s">
        <v>19</v>
      </c>
      <c r="E365" s="91"/>
      <c r="F365" s="92">
        <v>12</v>
      </c>
      <c r="G365" s="93" t="s">
        <v>33</v>
      </c>
      <c r="H365" s="92">
        <v>12</v>
      </c>
      <c r="I365" s="93" t="s">
        <v>19</v>
      </c>
      <c r="J365" s="94">
        <v>11200</v>
      </c>
      <c r="K365" s="90" t="s">
        <v>19</v>
      </c>
      <c r="L365" s="95">
        <v>0.125</v>
      </c>
      <c r="M365" s="95">
        <v>0.05</v>
      </c>
      <c r="N365" s="92"/>
      <c r="O365" s="93" t="s">
        <v>19</v>
      </c>
      <c r="P365" s="87">
        <f t="shared" si="152"/>
        <v>0</v>
      </c>
      <c r="Q365" s="93" t="s">
        <v>19</v>
      </c>
      <c r="R365" s="94">
        <f t="shared" si="153"/>
        <v>0</v>
      </c>
      <c r="S365" s="94">
        <f t="shared" si="144"/>
        <v>0</v>
      </c>
    </row>
    <row r="366" spans="1:19" s="19" customFormat="1">
      <c r="A366" s="18" t="s">
        <v>232</v>
      </c>
      <c r="B366" s="19" t="s">
        <v>18</v>
      </c>
      <c r="C366" s="20">
        <v>72</v>
      </c>
      <c r="D366" s="21" t="s">
        <v>19</v>
      </c>
      <c r="E366" s="26"/>
      <c r="F366" s="22">
        <v>12</v>
      </c>
      <c r="G366" s="23" t="s">
        <v>33</v>
      </c>
      <c r="H366" s="22">
        <v>12</v>
      </c>
      <c r="I366" s="23" t="s">
        <v>19</v>
      </c>
      <c r="J366" s="24">
        <v>7600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 t="shared" si="152"/>
        <v>72</v>
      </c>
      <c r="Q366" s="23" t="s">
        <v>19</v>
      </c>
      <c r="R366" s="24">
        <f t="shared" si="153"/>
        <v>454860</v>
      </c>
      <c r="S366" s="24">
        <f t="shared" si="144"/>
        <v>409783.78378378373</v>
      </c>
    </row>
    <row r="367" spans="1:19" s="89" customFormat="1">
      <c r="A367" s="88" t="s">
        <v>233</v>
      </c>
      <c r="B367" s="89" t="s">
        <v>18</v>
      </c>
      <c r="C367" s="87"/>
      <c r="D367" s="90" t="s">
        <v>19</v>
      </c>
      <c r="E367" s="91"/>
      <c r="F367" s="92">
        <v>8</v>
      </c>
      <c r="G367" s="93" t="s">
        <v>33</v>
      </c>
      <c r="H367" s="92">
        <v>6</v>
      </c>
      <c r="I367" s="93" t="s">
        <v>19</v>
      </c>
      <c r="J367" s="94">
        <v>65000</v>
      </c>
      <c r="K367" s="90" t="s">
        <v>19</v>
      </c>
      <c r="L367" s="95">
        <v>0.125</v>
      </c>
      <c r="M367" s="95">
        <v>0.05</v>
      </c>
      <c r="N367" s="92"/>
      <c r="O367" s="93" t="s">
        <v>19</v>
      </c>
      <c r="P367" s="87">
        <f t="shared" si="152"/>
        <v>0</v>
      </c>
      <c r="Q367" s="93" t="s">
        <v>19</v>
      </c>
      <c r="R367" s="94">
        <f t="shared" si="153"/>
        <v>0</v>
      </c>
      <c r="S367" s="94">
        <f t="shared" si="144"/>
        <v>0</v>
      </c>
    </row>
    <row r="368" spans="1:19" s="19" customFormat="1">
      <c r="A368" s="18"/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>
      <c r="A369" s="18" t="s">
        <v>234</v>
      </c>
      <c r="B369" s="19" t="s">
        <v>25</v>
      </c>
      <c r="C369" s="20">
        <v>53</v>
      </c>
      <c r="D369" s="21" t="s">
        <v>40</v>
      </c>
      <c r="E369" s="26">
        <v>9</v>
      </c>
      <c r="F369" s="22">
        <v>1</v>
      </c>
      <c r="G369" s="23" t="s">
        <v>20</v>
      </c>
      <c r="H369" s="22">
        <v>25</v>
      </c>
      <c r="I369" s="23" t="s">
        <v>40</v>
      </c>
      <c r="J369" s="24">
        <v>56400</v>
      </c>
      <c r="K369" s="21" t="s">
        <v>40</v>
      </c>
      <c r="L369" s="25"/>
      <c r="M369" s="25">
        <v>0.17</v>
      </c>
      <c r="N369" s="22"/>
      <c r="O369" s="23" t="s">
        <v>40</v>
      </c>
      <c r="P369" s="20">
        <f t="shared" ref="P369:P373" si="160">(C369+(E369*F369*H369))-N369</f>
        <v>278</v>
      </c>
      <c r="Q369" s="23" t="s">
        <v>40</v>
      </c>
      <c r="R369" s="24">
        <f t="shared" ref="R369:R373" si="161">P369*(J369-(J369*L369)-((J369-(J369*L369))*M369))</f>
        <v>13013736</v>
      </c>
      <c r="S369" s="24">
        <f t="shared" ref="S369" si="162">R369/1.11</f>
        <v>11724086.486486485</v>
      </c>
    </row>
    <row r="370" spans="1:19" s="19" customFormat="1">
      <c r="A370" s="18" t="s">
        <v>235</v>
      </c>
      <c r="B370" s="19" t="s">
        <v>25</v>
      </c>
      <c r="C370" s="20">
        <v>131</v>
      </c>
      <c r="D370" s="21" t="s">
        <v>40</v>
      </c>
      <c r="E370" s="26">
        <v>11</v>
      </c>
      <c r="F370" s="22">
        <v>1</v>
      </c>
      <c r="G370" s="23" t="s">
        <v>20</v>
      </c>
      <c r="H370" s="22">
        <v>25</v>
      </c>
      <c r="I370" s="23" t="s">
        <v>40</v>
      </c>
      <c r="J370" s="24">
        <v>79800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si="160"/>
        <v>406</v>
      </c>
      <c r="Q370" s="23" t="s">
        <v>40</v>
      </c>
      <c r="R370" s="24">
        <f t="shared" si="161"/>
        <v>26891004</v>
      </c>
      <c r="S370" s="24">
        <f t="shared" ref="S370" si="163">R370/1.11</f>
        <v>24226129.729729727</v>
      </c>
    </row>
    <row r="371" spans="1:19" s="19" customFormat="1">
      <c r="A371" s="18" t="s">
        <v>236</v>
      </c>
      <c r="B371" s="19" t="s">
        <v>25</v>
      </c>
      <c r="C371" s="20">
        <v>118</v>
      </c>
      <c r="D371" s="21" t="s">
        <v>40</v>
      </c>
      <c r="E371" s="26">
        <v>13</v>
      </c>
      <c r="F371" s="22">
        <v>1</v>
      </c>
      <c r="G371" s="23" t="s">
        <v>20</v>
      </c>
      <c r="H371" s="22">
        <v>10</v>
      </c>
      <c r="I371" s="23" t="s">
        <v>40</v>
      </c>
      <c r="J371" s="24">
        <v>118800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 t="shared" si="160"/>
        <v>248</v>
      </c>
      <c r="Q371" s="23" t="s">
        <v>40</v>
      </c>
      <c r="R371" s="24">
        <f t="shared" si="161"/>
        <v>24453792</v>
      </c>
      <c r="S371" s="24">
        <f t="shared" ref="S371" si="164">R371/1.11</f>
        <v>22030443.24324324</v>
      </c>
    </row>
    <row r="372" spans="1:19" s="19" customFormat="1">
      <c r="A372" s="18" t="s">
        <v>679</v>
      </c>
      <c r="B372" s="19" t="s">
        <v>25</v>
      </c>
      <c r="C372" s="20">
        <v>15</v>
      </c>
      <c r="D372" s="21" t="s">
        <v>40</v>
      </c>
      <c r="E372" s="26"/>
      <c r="F372" s="22">
        <v>1</v>
      </c>
      <c r="G372" s="23" t="s">
        <v>20</v>
      </c>
      <c r="H372" s="22">
        <v>25</v>
      </c>
      <c r="I372" s="23" t="s">
        <v>40</v>
      </c>
      <c r="J372" s="24">
        <f>2010000/25</f>
        <v>80400</v>
      </c>
      <c r="K372" s="21" t="s">
        <v>40</v>
      </c>
      <c r="L372" s="25"/>
      <c r="M372" s="25">
        <v>0.17</v>
      </c>
      <c r="N372" s="22"/>
      <c r="O372" s="23" t="s">
        <v>40</v>
      </c>
      <c r="P372" s="20">
        <f t="shared" si="160"/>
        <v>15</v>
      </c>
      <c r="Q372" s="23" t="s">
        <v>40</v>
      </c>
      <c r="R372" s="24">
        <f t="shared" si="161"/>
        <v>1000980</v>
      </c>
      <c r="S372" s="24">
        <f t="shared" si="144"/>
        <v>901783.78378378367</v>
      </c>
    </row>
    <row r="373" spans="1:19" s="19" customFormat="1">
      <c r="A373" s="18" t="s">
        <v>237</v>
      </c>
      <c r="B373" s="19" t="s">
        <v>25</v>
      </c>
      <c r="C373" s="20">
        <v>18</v>
      </c>
      <c r="D373" s="21" t="s">
        <v>40</v>
      </c>
      <c r="E373" s="26"/>
      <c r="F373" s="22">
        <v>1</v>
      </c>
      <c r="G373" s="23" t="s">
        <v>20</v>
      </c>
      <c r="H373" s="22">
        <v>10</v>
      </c>
      <c r="I373" s="23" t="s">
        <v>40</v>
      </c>
      <c r="J373" s="24">
        <f>1260000/10</f>
        <v>126000</v>
      </c>
      <c r="K373" s="21" t="s">
        <v>40</v>
      </c>
      <c r="L373" s="25"/>
      <c r="M373" s="25">
        <v>0.17</v>
      </c>
      <c r="N373" s="22"/>
      <c r="O373" s="23" t="s">
        <v>40</v>
      </c>
      <c r="P373" s="20">
        <f t="shared" si="160"/>
        <v>18</v>
      </c>
      <c r="Q373" s="23" t="s">
        <v>40</v>
      </c>
      <c r="R373" s="24">
        <f t="shared" si="161"/>
        <v>1882440</v>
      </c>
      <c r="S373" s="24">
        <f t="shared" si="144"/>
        <v>1695891.8918918918</v>
      </c>
    </row>
    <row r="374" spans="1:19" s="19" customFormat="1">
      <c r="A374" s="18"/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 ht="15.75">
      <c r="A375" s="44" t="s">
        <v>238</v>
      </c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55" t="s">
        <v>239</v>
      </c>
      <c r="B376" s="19" t="s">
        <v>25</v>
      </c>
      <c r="C376" s="20">
        <v>18</v>
      </c>
      <c r="D376" s="21" t="s">
        <v>19</v>
      </c>
      <c r="E376" s="26">
        <v>1</v>
      </c>
      <c r="F376" s="22">
        <v>20</v>
      </c>
      <c r="G376" s="23" t="s">
        <v>33</v>
      </c>
      <c r="H376" s="22">
        <v>10</v>
      </c>
      <c r="I376" s="23" t="s">
        <v>19</v>
      </c>
      <c r="J376" s="24">
        <f>3800000/20/10</f>
        <v>19000</v>
      </c>
      <c r="K376" s="21" t="s">
        <v>19</v>
      </c>
      <c r="L376" s="25"/>
      <c r="M376" s="25">
        <v>0.17</v>
      </c>
      <c r="N376" s="22"/>
      <c r="O376" s="23" t="s">
        <v>19</v>
      </c>
      <c r="P376" s="20">
        <f>(C376+(E376*F376*H376))-N376</f>
        <v>218</v>
      </c>
      <c r="Q376" s="23" t="s">
        <v>19</v>
      </c>
      <c r="R376" s="24">
        <f>P376*(J376-(J376*L376)-((J376-(J376*L376))*M376))</f>
        <v>3437860</v>
      </c>
      <c r="S376" s="24">
        <f t="shared" si="144"/>
        <v>3097171.1711711711</v>
      </c>
    </row>
    <row r="377" spans="1:19" s="19" customFormat="1">
      <c r="A377" s="55" t="s">
        <v>240</v>
      </c>
      <c r="B377" s="19" t="s">
        <v>25</v>
      </c>
      <c r="C377" s="20">
        <v>120</v>
      </c>
      <c r="D377" s="21" t="s">
        <v>19</v>
      </c>
      <c r="E377" s="26">
        <v>1</v>
      </c>
      <c r="F377" s="22">
        <v>20</v>
      </c>
      <c r="G377" s="23" t="s">
        <v>33</v>
      </c>
      <c r="H377" s="22">
        <v>12</v>
      </c>
      <c r="I377" s="23" t="s">
        <v>19</v>
      </c>
      <c r="J377" s="24">
        <f>3120000/20/12</f>
        <v>13000</v>
      </c>
      <c r="K377" s="21" t="s">
        <v>19</v>
      </c>
      <c r="L377" s="25"/>
      <c r="M377" s="25">
        <v>0.17</v>
      </c>
      <c r="N377" s="22"/>
      <c r="O377" s="23" t="s">
        <v>19</v>
      </c>
      <c r="P377" s="20">
        <f>(C377+(E377*F377*H377))-N377</f>
        <v>360</v>
      </c>
      <c r="Q377" s="23" t="s">
        <v>19</v>
      </c>
      <c r="R377" s="24">
        <f>P377*(J377-(J377*L377)-((J377-(J377*L377))*M377))</f>
        <v>3884400</v>
      </c>
      <c r="S377" s="24">
        <f t="shared" si="144"/>
        <v>3499459.4594594589</v>
      </c>
    </row>
    <row r="378" spans="1:19" s="19" customFormat="1">
      <c r="A378" s="18"/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19" customFormat="1" ht="15.75">
      <c r="A379" s="44" t="s">
        <v>241</v>
      </c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19" customFormat="1">
      <c r="A380" s="179" t="s">
        <v>242</v>
      </c>
      <c r="B380" s="19" t="s">
        <v>18</v>
      </c>
      <c r="C380" s="20"/>
      <c r="D380" s="21" t="s">
        <v>40</v>
      </c>
      <c r="E380" s="26">
        <v>5</v>
      </c>
      <c r="F380" s="22">
        <v>1</v>
      </c>
      <c r="G380" s="23" t="s">
        <v>20</v>
      </c>
      <c r="H380" s="22">
        <v>24</v>
      </c>
      <c r="I380" s="23" t="s">
        <v>40</v>
      </c>
      <c r="J380" s="24">
        <v>89400</v>
      </c>
      <c r="K380" s="21" t="s">
        <v>40</v>
      </c>
      <c r="L380" s="25">
        <v>0.125</v>
      </c>
      <c r="M380" s="25">
        <v>0.05</v>
      </c>
      <c r="N380" s="22"/>
      <c r="O380" s="23" t="s">
        <v>40</v>
      </c>
      <c r="P380" s="20">
        <f t="shared" ref="P380" si="165">(C380+(E380*F380*H380))-N380</f>
        <v>120</v>
      </c>
      <c r="Q380" s="23" t="s">
        <v>40</v>
      </c>
      <c r="R380" s="24">
        <f t="shared" ref="R380" si="166">P380*(J380-(J380*L380)-((J380-(J380*L380))*M380))</f>
        <v>8917650</v>
      </c>
      <c r="S380" s="24">
        <f t="shared" ref="S380" si="167">R380/1.11</f>
        <v>8033918.9189189179</v>
      </c>
    </row>
    <row r="381" spans="1:19" s="19" customFormat="1">
      <c r="A381" s="77" t="s">
        <v>242</v>
      </c>
      <c r="B381" s="19" t="s">
        <v>18</v>
      </c>
      <c r="C381" s="20">
        <v>26</v>
      </c>
      <c r="D381" s="21" t="s">
        <v>40</v>
      </c>
      <c r="E381" s="26">
        <v>7</v>
      </c>
      <c r="F381" s="22">
        <v>1</v>
      </c>
      <c r="G381" s="23" t="s">
        <v>20</v>
      </c>
      <c r="H381" s="22">
        <v>24</v>
      </c>
      <c r="I381" s="23" t="s">
        <v>40</v>
      </c>
      <c r="J381" s="24">
        <v>88200</v>
      </c>
      <c r="K381" s="21" t="s">
        <v>40</v>
      </c>
      <c r="L381" s="25">
        <v>0.125</v>
      </c>
      <c r="M381" s="25">
        <v>0.05</v>
      </c>
      <c r="N381" s="22"/>
      <c r="O381" s="23" t="s">
        <v>40</v>
      </c>
      <c r="P381" s="20">
        <f t="shared" ref="P381:P393" si="168">(C381+(E381*F381*H381))-N381</f>
        <v>194</v>
      </c>
      <c r="Q381" s="23" t="s">
        <v>40</v>
      </c>
      <c r="R381" s="24">
        <f t="shared" ref="R381:R393" si="169">P381*(J381-(J381*L381)-((J381-(J381*L381))*M381))</f>
        <v>14223352.5</v>
      </c>
      <c r="S381" s="24">
        <f t="shared" si="144"/>
        <v>12813831.081081079</v>
      </c>
    </row>
    <row r="382" spans="1:19" s="19" customFormat="1">
      <c r="A382" s="164" t="s">
        <v>656</v>
      </c>
      <c r="B382" s="19" t="s">
        <v>18</v>
      </c>
      <c r="C382" s="20"/>
      <c r="D382" s="21" t="s">
        <v>40</v>
      </c>
      <c r="E382" s="26">
        <v>1</v>
      </c>
      <c r="F382" s="22">
        <v>1</v>
      </c>
      <c r="G382" s="23" t="s">
        <v>20</v>
      </c>
      <c r="H382" s="22">
        <v>24</v>
      </c>
      <c r="I382" s="23" t="s">
        <v>40</v>
      </c>
      <c r="J382" s="24">
        <v>118800</v>
      </c>
      <c r="K382" s="21" t="s">
        <v>40</v>
      </c>
      <c r="L382" s="25">
        <v>0.125</v>
      </c>
      <c r="M382" s="25">
        <v>0.05</v>
      </c>
      <c r="N382" s="22"/>
      <c r="O382" s="23" t="s">
        <v>40</v>
      </c>
      <c r="P382" s="20">
        <f t="shared" ref="P382" si="170">(C382+(E382*F382*H382))-N382</f>
        <v>24</v>
      </c>
      <c r="Q382" s="23" t="s">
        <v>40</v>
      </c>
      <c r="R382" s="24">
        <f t="shared" ref="R382" si="171">P382*(J382-(J382*L382)-((J382-(J382*L382))*M382))</f>
        <v>2370060</v>
      </c>
      <c r="S382" s="24">
        <f t="shared" ref="S382" si="172">R382/1.11</f>
        <v>2135189.1891891891</v>
      </c>
    </row>
    <row r="383" spans="1:19" s="19" customFormat="1">
      <c r="A383" s="18" t="s">
        <v>656</v>
      </c>
      <c r="B383" s="19" t="s">
        <v>18</v>
      </c>
      <c r="C383" s="20">
        <v>16</v>
      </c>
      <c r="D383" s="21" t="s">
        <v>40</v>
      </c>
      <c r="E383" s="26"/>
      <c r="F383" s="22">
        <v>1</v>
      </c>
      <c r="G383" s="23" t="s">
        <v>20</v>
      </c>
      <c r="H383" s="22">
        <v>24</v>
      </c>
      <c r="I383" s="23" t="s">
        <v>40</v>
      </c>
      <c r="J383" s="24">
        <v>114000</v>
      </c>
      <c r="K383" s="21" t="s">
        <v>40</v>
      </c>
      <c r="L383" s="25">
        <v>0.125</v>
      </c>
      <c r="M383" s="25">
        <v>0.05</v>
      </c>
      <c r="N383" s="22"/>
      <c r="O383" s="23" t="s">
        <v>40</v>
      </c>
      <c r="P383" s="20">
        <f t="shared" si="168"/>
        <v>16</v>
      </c>
      <c r="Q383" s="23" t="s">
        <v>40</v>
      </c>
      <c r="R383" s="24">
        <f t="shared" si="169"/>
        <v>1516200</v>
      </c>
      <c r="S383" s="24">
        <f t="shared" si="144"/>
        <v>1365945.9459459458</v>
      </c>
    </row>
    <row r="384" spans="1:19" s="19" customFormat="1">
      <c r="A384" s="164" t="s">
        <v>243</v>
      </c>
      <c r="B384" s="19" t="s">
        <v>18</v>
      </c>
      <c r="C384" s="20"/>
      <c r="D384" s="21" t="s">
        <v>40</v>
      </c>
      <c r="E384" s="26">
        <v>3</v>
      </c>
      <c r="F384" s="22">
        <v>1</v>
      </c>
      <c r="G384" s="23" t="s">
        <v>20</v>
      </c>
      <c r="H384" s="22">
        <v>24</v>
      </c>
      <c r="I384" s="23" t="s">
        <v>40</v>
      </c>
      <c r="J384" s="24">
        <v>89400</v>
      </c>
      <c r="K384" s="21" t="s">
        <v>40</v>
      </c>
      <c r="L384" s="25">
        <v>0.125</v>
      </c>
      <c r="M384" s="25">
        <v>0.05</v>
      </c>
      <c r="N384" s="22"/>
      <c r="O384" s="23" t="s">
        <v>40</v>
      </c>
      <c r="P384" s="20">
        <f t="shared" ref="P384" si="173">(C384+(E384*F384*H384))-N384</f>
        <v>72</v>
      </c>
      <c r="Q384" s="23" t="s">
        <v>40</v>
      </c>
      <c r="R384" s="24">
        <f t="shared" ref="R384" si="174">P384*(J384-(J384*L384)-((J384-(J384*L384))*M384))</f>
        <v>5350590</v>
      </c>
      <c r="S384" s="24">
        <f t="shared" ref="S384" si="175">R384/1.11</f>
        <v>4820351.3513513505</v>
      </c>
    </row>
    <row r="385" spans="1:19" s="19" customFormat="1">
      <c r="A385" s="18" t="s">
        <v>243</v>
      </c>
      <c r="B385" s="19" t="s">
        <v>18</v>
      </c>
      <c r="C385" s="20">
        <v>204</v>
      </c>
      <c r="D385" s="21" t="s">
        <v>40</v>
      </c>
      <c r="E385" s="26">
        <v>5</v>
      </c>
      <c r="F385" s="22">
        <v>1</v>
      </c>
      <c r="G385" s="23" t="s">
        <v>20</v>
      </c>
      <c r="H385" s="22">
        <v>24</v>
      </c>
      <c r="I385" s="23" t="s">
        <v>40</v>
      </c>
      <c r="J385" s="24">
        <v>88200</v>
      </c>
      <c r="K385" s="21" t="s">
        <v>40</v>
      </c>
      <c r="L385" s="25">
        <v>0.125</v>
      </c>
      <c r="M385" s="25">
        <v>0.05</v>
      </c>
      <c r="N385" s="22"/>
      <c r="O385" s="23" t="s">
        <v>40</v>
      </c>
      <c r="P385" s="20">
        <f t="shared" si="168"/>
        <v>324</v>
      </c>
      <c r="Q385" s="23" t="s">
        <v>40</v>
      </c>
      <c r="R385" s="24">
        <f t="shared" si="169"/>
        <v>23754465</v>
      </c>
      <c r="S385" s="24">
        <f t="shared" si="144"/>
        <v>21400418.918918919</v>
      </c>
    </row>
    <row r="386" spans="1:19" s="19" customFormat="1">
      <c r="A386" s="164" t="s">
        <v>244</v>
      </c>
      <c r="B386" s="19" t="s">
        <v>18</v>
      </c>
      <c r="C386" s="20"/>
      <c r="D386" s="21" t="s">
        <v>40</v>
      </c>
      <c r="E386" s="26">
        <v>2</v>
      </c>
      <c r="F386" s="22">
        <v>1</v>
      </c>
      <c r="G386" s="23" t="s">
        <v>20</v>
      </c>
      <c r="H386" s="22">
        <v>24</v>
      </c>
      <c r="I386" s="23" t="s">
        <v>40</v>
      </c>
      <c r="J386" s="24">
        <v>90600</v>
      </c>
      <c r="K386" s="21" t="s">
        <v>40</v>
      </c>
      <c r="L386" s="25">
        <v>0.125</v>
      </c>
      <c r="M386" s="25">
        <v>0.05</v>
      </c>
      <c r="N386" s="22"/>
      <c r="O386" s="23" t="s">
        <v>40</v>
      </c>
      <c r="P386" s="20">
        <f t="shared" ref="P386" si="176">(C386+(E386*F386*H386))-N386</f>
        <v>48</v>
      </c>
      <c r="Q386" s="23" t="s">
        <v>40</v>
      </c>
      <c r="R386" s="24">
        <f t="shared" ref="R386" si="177">P386*(J386-(J386*L386)-((J386-(J386*L386))*M386))</f>
        <v>3614940</v>
      </c>
      <c r="S386" s="24">
        <f t="shared" ref="S386" si="178">R386/1.11</f>
        <v>3256702.7027027025</v>
      </c>
    </row>
    <row r="387" spans="1:19" s="19" customFormat="1">
      <c r="A387" s="18" t="s">
        <v>244</v>
      </c>
      <c r="B387" s="19" t="s">
        <v>18</v>
      </c>
      <c r="C387" s="20">
        <v>350</v>
      </c>
      <c r="D387" s="21" t="s">
        <v>40</v>
      </c>
      <c r="E387" s="26">
        <v>4</v>
      </c>
      <c r="F387" s="22">
        <v>1</v>
      </c>
      <c r="G387" s="23" t="s">
        <v>20</v>
      </c>
      <c r="H387" s="22">
        <v>24</v>
      </c>
      <c r="I387" s="23" t="s">
        <v>40</v>
      </c>
      <c r="J387" s="24">
        <v>89400</v>
      </c>
      <c r="K387" s="21" t="s">
        <v>40</v>
      </c>
      <c r="L387" s="25">
        <v>0.125</v>
      </c>
      <c r="M387" s="25">
        <v>0.05</v>
      </c>
      <c r="N387" s="22"/>
      <c r="O387" s="23" t="s">
        <v>40</v>
      </c>
      <c r="P387" s="20">
        <f t="shared" si="168"/>
        <v>446</v>
      </c>
      <c r="Q387" s="23" t="s">
        <v>40</v>
      </c>
      <c r="R387" s="24">
        <f t="shared" si="169"/>
        <v>33143932.5</v>
      </c>
      <c r="S387" s="24">
        <f t="shared" si="144"/>
        <v>29859398.648648646</v>
      </c>
    </row>
    <row r="388" spans="1:19" s="19" customFormat="1">
      <c r="A388" s="18" t="s">
        <v>245</v>
      </c>
      <c r="B388" s="19" t="s">
        <v>18</v>
      </c>
      <c r="C388" s="20"/>
      <c r="D388" s="21" t="s">
        <v>152</v>
      </c>
      <c r="E388" s="26">
        <v>3</v>
      </c>
      <c r="F388" s="22">
        <v>12</v>
      </c>
      <c r="G388" s="23" t="s">
        <v>33</v>
      </c>
      <c r="H388" s="22">
        <v>24</v>
      </c>
      <c r="I388" s="23" t="s">
        <v>152</v>
      </c>
      <c r="J388" s="24">
        <v>12000</v>
      </c>
      <c r="K388" s="21" t="s">
        <v>152</v>
      </c>
      <c r="L388" s="25">
        <v>0.125</v>
      </c>
      <c r="M388" s="25">
        <v>0.05</v>
      </c>
      <c r="N388" s="22"/>
      <c r="O388" s="23" t="s">
        <v>152</v>
      </c>
      <c r="P388" s="20">
        <f t="shared" si="168"/>
        <v>864</v>
      </c>
      <c r="Q388" s="23" t="s">
        <v>152</v>
      </c>
      <c r="R388" s="24">
        <f t="shared" si="169"/>
        <v>8618400</v>
      </c>
      <c r="S388" s="24">
        <f t="shared" si="144"/>
        <v>7764324.3243243238</v>
      </c>
    </row>
    <row r="389" spans="1:19" s="89" customFormat="1">
      <c r="A389" s="88" t="s">
        <v>246</v>
      </c>
      <c r="B389" s="89" t="s">
        <v>18</v>
      </c>
      <c r="C389" s="87"/>
      <c r="D389" s="90" t="s">
        <v>152</v>
      </c>
      <c r="E389" s="91"/>
      <c r="F389" s="92">
        <v>10</v>
      </c>
      <c r="G389" s="93" t="s">
        <v>33</v>
      </c>
      <c r="H389" s="92">
        <v>10</v>
      </c>
      <c r="I389" s="93" t="s">
        <v>152</v>
      </c>
      <c r="J389" s="94">
        <v>28000</v>
      </c>
      <c r="K389" s="90" t="s">
        <v>152</v>
      </c>
      <c r="L389" s="95">
        <v>0.125</v>
      </c>
      <c r="M389" s="95">
        <v>0.05</v>
      </c>
      <c r="N389" s="92"/>
      <c r="O389" s="93" t="s">
        <v>152</v>
      </c>
      <c r="P389" s="87">
        <f t="shared" si="168"/>
        <v>0</v>
      </c>
      <c r="Q389" s="93" t="s">
        <v>152</v>
      </c>
      <c r="R389" s="94">
        <f t="shared" si="169"/>
        <v>0</v>
      </c>
      <c r="S389" s="94">
        <f t="shared" si="144"/>
        <v>0</v>
      </c>
    </row>
    <row r="390" spans="1:19" s="89" customFormat="1">
      <c r="A390" s="88" t="s">
        <v>247</v>
      </c>
      <c r="B390" s="89" t="s">
        <v>18</v>
      </c>
      <c r="C390" s="87"/>
      <c r="D390" s="90" t="s">
        <v>152</v>
      </c>
      <c r="E390" s="91"/>
      <c r="F390" s="92">
        <v>10</v>
      </c>
      <c r="G390" s="93" t="s">
        <v>33</v>
      </c>
      <c r="H390" s="92">
        <v>10</v>
      </c>
      <c r="I390" s="93" t="s">
        <v>152</v>
      </c>
      <c r="J390" s="94">
        <v>33500</v>
      </c>
      <c r="K390" s="90" t="s">
        <v>152</v>
      </c>
      <c r="L390" s="95">
        <v>0.125</v>
      </c>
      <c r="M390" s="95">
        <v>0.05</v>
      </c>
      <c r="N390" s="92"/>
      <c r="O390" s="93" t="s">
        <v>152</v>
      </c>
      <c r="P390" s="87">
        <f t="shared" si="168"/>
        <v>0</v>
      </c>
      <c r="Q390" s="93" t="s">
        <v>152</v>
      </c>
      <c r="R390" s="94">
        <f t="shared" si="169"/>
        <v>0</v>
      </c>
      <c r="S390" s="94">
        <f t="shared" si="144"/>
        <v>0</v>
      </c>
    </row>
    <row r="391" spans="1:19" s="89" customFormat="1">
      <c r="A391" s="88" t="s">
        <v>248</v>
      </c>
      <c r="B391" s="89" t="s">
        <v>18</v>
      </c>
      <c r="C391" s="87"/>
      <c r="D391" s="90" t="s">
        <v>152</v>
      </c>
      <c r="E391" s="91"/>
      <c r="F391" s="92">
        <v>8</v>
      </c>
      <c r="G391" s="93" t="s">
        <v>33</v>
      </c>
      <c r="H391" s="92">
        <v>10</v>
      </c>
      <c r="I391" s="93" t="s">
        <v>152</v>
      </c>
      <c r="J391" s="94">
        <v>48500</v>
      </c>
      <c r="K391" s="90" t="s">
        <v>152</v>
      </c>
      <c r="L391" s="95">
        <v>0.125</v>
      </c>
      <c r="M391" s="95">
        <v>0.05</v>
      </c>
      <c r="N391" s="92"/>
      <c r="O391" s="93" t="s">
        <v>152</v>
      </c>
      <c r="P391" s="87">
        <f t="shared" si="168"/>
        <v>0</v>
      </c>
      <c r="Q391" s="93" t="s">
        <v>152</v>
      </c>
      <c r="R391" s="94">
        <f t="shared" si="169"/>
        <v>0</v>
      </c>
      <c r="S391" s="94">
        <f t="shared" si="144"/>
        <v>0</v>
      </c>
    </row>
    <row r="392" spans="1:19" s="89" customFormat="1">
      <c r="A392" s="88" t="s">
        <v>249</v>
      </c>
      <c r="B392" s="89" t="s">
        <v>18</v>
      </c>
      <c r="C392" s="87"/>
      <c r="D392" s="90" t="s">
        <v>152</v>
      </c>
      <c r="E392" s="91"/>
      <c r="F392" s="92">
        <v>10</v>
      </c>
      <c r="G392" s="93" t="s">
        <v>33</v>
      </c>
      <c r="H392" s="92">
        <v>12</v>
      </c>
      <c r="I392" s="93" t="s">
        <v>152</v>
      </c>
      <c r="J392" s="94">
        <v>17000</v>
      </c>
      <c r="K392" s="90" t="s">
        <v>152</v>
      </c>
      <c r="L392" s="95">
        <v>0.125</v>
      </c>
      <c r="M392" s="95">
        <v>0.05</v>
      </c>
      <c r="N392" s="92"/>
      <c r="O392" s="93" t="s">
        <v>152</v>
      </c>
      <c r="P392" s="87">
        <f t="shared" si="168"/>
        <v>0</v>
      </c>
      <c r="Q392" s="93" t="s">
        <v>152</v>
      </c>
      <c r="R392" s="94">
        <f t="shared" si="169"/>
        <v>0</v>
      </c>
      <c r="S392" s="94">
        <f t="shared" si="144"/>
        <v>0</v>
      </c>
    </row>
    <row r="393" spans="1:19" s="89" customFormat="1">
      <c r="A393" s="88" t="s">
        <v>250</v>
      </c>
      <c r="B393" s="89" t="s">
        <v>18</v>
      </c>
      <c r="C393" s="87"/>
      <c r="D393" s="90" t="s">
        <v>152</v>
      </c>
      <c r="E393" s="91"/>
      <c r="F393" s="92">
        <v>24</v>
      </c>
      <c r="G393" s="93" t="s">
        <v>33</v>
      </c>
      <c r="H393" s="92">
        <v>12</v>
      </c>
      <c r="I393" s="93" t="s">
        <v>152</v>
      </c>
      <c r="J393" s="94">
        <v>13300</v>
      </c>
      <c r="K393" s="90" t="s">
        <v>152</v>
      </c>
      <c r="L393" s="95">
        <v>0.125</v>
      </c>
      <c r="M393" s="95">
        <v>0.05</v>
      </c>
      <c r="N393" s="92"/>
      <c r="O393" s="93" t="s">
        <v>152</v>
      </c>
      <c r="P393" s="87">
        <f t="shared" si="168"/>
        <v>0</v>
      </c>
      <c r="Q393" s="93" t="s">
        <v>152</v>
      </c>
      <c r="R393" s="94">
        <f t="shared" si="169"/>
        <v>0</v>
      </c>
      <c r="S393" s="94">
        <f t="shared" si="144"/>
        <v>0</v>
      </c>
    </row>
    <row r="394" spans="1:19" s="19" customFormat="1">
      <c r="A394" s="18"/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89" customFormat="1">
      <c r="A395" s="145" t="s">
        <v>251</v>
      </c>
      <c r="B395" s="89" t="s">
        <v>25</v>
      </c>
      <c r="C395" s="87"/>
      <c r="D395" s="90" t="s">
        <v>19</v>
      </c>
      <c r="E395" s="91"/>
      <c r="F395" s="92">
        <v>24</v>
      </c>
      <c r="G395" s="93" t="s">
        <v>40</v>
      </c>
      <c r="H395" s="92">
        <v>12</v>
      </c>
      <c r="I395" s="93" t="s">
        <v>19</v>
      </c>
      <c r="J395" s="94">
        <f>2160000/24/12</f>
        <v>7500</v>
      </c>
      <c r="K395" s="90" t="s">
        <v>19</v>
      </c>
      <c r="L395" s="95"/>
      <c r="M395" s="95">
        <v>0.17</v>
      </c>
      <c r="N395" s="92"/>
      <c r="O395" s="93" t="s">
        <v>19</v>
      </c>
      <c r="P395" s="87">
        <f t="shared" ref="P395:P398" si="179">(C395+(E395*F395*H395))-N395</f>
        <v>0</v>
      </c>
      <c r="Q395" s="93" t="s">
        <v>19</v>
      </c>
      <c r="R395" s="94">
        <f t="shared" ref="R395:R398" si="180">P395*(J395-(J395*L395)-((J395-(J395*L395))*M395))</f>
        <v>0</v>
      </c>
      <c r="S395" s="94">
        <f t="shared" si="144"/>
        <v>0</v>
      </c>
    </row>
    <row r="396" spans="1:19" s="89" customFormat="1">
      <c r="A396" s="145" t="s">
        <v>252</v>
      </c>
      <c r="B396" s="89" t="s">
        <v>25</v>
      </c>
      <c r="C396" s="87"/>
      <c r="D396" s="90" t="s">
        <v>19</v>
      </c>
      <c r="E396" s="91"/>
      <c r="F396" s="92">
        <v>24</v>
      </c>
      <c r="G396" s="93" t="s">
        <v>40</v>
      </c>
      <c r="H396" s="92">
        <v>12</v>
      </c>
      <c r="I396" s="93" t="s">
        <v>19</v>
      </c>
      <c r="J396" s="94">
        <f>2160000/24/12</f>
        <v>7500</v>
      </c>
      <c r="K396" s="90" t="s">
        <v>19</v>
      </c>
      <c r="L396" s="95"/>
      <c r="M396" s="95">
        <v>0.17</v>
      </c>
      <c r="N396" s="92"/>
      <c r="O396" s="93" t="s">
        <v>19</v>
      </c>
      <c r="P396" s="87">
        <f t="shared" si="179"/>
        <v>0</v>
      </c>
      <c r="Q396" s="93" t="s">
        <v>19</v>
      </c>
      <c r="R396" s="94">
        <f t="shared" si="180"/>
        <v>0</v>
      </c>
      <c r="S396" s="94">
        <f t="shared" si="144"/>
        <v>0</v>
      </c>
    </row>
    <row r="397" spans="1:19" s="19" customFormat="1">
      <c r="A397" s="49" t="s">
        <v>784</v>
      </c>
      <c r="B397" s="19" t="s">
        <v>25</v>
      </c>
      <c r="C397" s="20">
        <v>288</v>
      </c>
      <c r="D397" s="21" t="s">
        <v>19</v>
      </c>
      <c r="E397" s="26"/>
      <c r="F397" s="22">
        <v>24</v>
      </c>
      <c r="G397" s="23" t="s">
        <v>40</v>
      </c>
      <c r="H397" s="22">
        <v>12</v>
      </c>
      <c r="I397" s="23" t="s">
        <v>19</v>
      </c>
      <c r="J397" s="24">
        <f>2160000/24/12</f>
        <v>7500</v>
      </c>
      <c r="K397" s="21" t="s">
        <v>19</v>
      </c>
      <c r="L397" s="25"/>
      <c r="M397" s="25">
        <v>0.17</v>
      </c>
      <c r="N397" s="22"/>
      <c r="O397" s="23" t="s">
        <v>19</v>
      </c>
      <c r="P397" s="20">
        <f t="shared" si="179"/>
        <v>288</v>
      </c>
      <c r="Q397" s="23" t="s">
        <v>19</v>
      </c>
      <c r="R397" s="24">
        <f t="shared" si="180"/>
        <v>1792800</v>
      </c>
      <c r="S397" s="24">
        <f t="shared" si="144"/>
        <v>1615135.1351351349</v>
      </c>
    </row>
    <row r="398" spans="1:19" s="19" customFormat="1">
      <c r="A398" s="49" t="s">
        <v>785</v>
      </c>
      <c r="B398" s="19" t="s">
        <v>25</v>
      </c>
      <c r="C398" s="20">
        <v>204</v>
      </c>
      <c r="D398" s="21" t="s">
        <v>19</v>
      </c>
      <c r="E398" s="26"/>
      <c r="F398" s="22">
        <v>12</v>
      </c>
      <c r="G398" s="23" t="s">
        <v>40</v>
      </c>
      <c r="H398" s="22">
        <v>12</v>
      </c>
      <c r="I398" s="23" t="s">
        <v>19</v>
      </c>
      <c r="J398" s="24">
        <f>3024000/12/12</f>
        <v>21000</v>
      </c>
      <c r="K398" s="21" t="s">
        <v>19</v>
      </c>
      <c r="L398" s="25"/>
      <c r="M398" s="25">
        <v>0.17</v>
      </c>
      <c r="N398" s="22"/>
      <c r="O398" s="23" t="s">
        <v>19</v>
      </c>
      <c r="P398" s="20">
        <f t="shared" si="179"/>
        <v>204</v>
      </c>
      <c r="Q398" s="23" t="s">
        <v>19</v>
      </c>
      <c r="R398" s="24">
        <f t="shared" si="180"/>
        <v>3555720</v>
      </c>
      <c r="S398" s="24">
        <f t="shared" si="144"/>
        <v>3203351.351351351</v>
      </c>
    </row>
    <row r="399" spans="1:19" s="19" customFormat="1">
      <c r="A399" s="18"/>
      <c r="C399" s="20"/>
      <c r="D399" s="21"/>
      <c r="E399" s="26"/>
      <c r="F399" s="22"/>
      <c r="G399" s="23"/>
      <c r="H399" s="22"/>
      <c r="I399" s="23"/>
      <c r="J399" s="24"/>
      <c r="K399" s="21"/>
      <c r="L399" s="25"/>
      <c r="M399" s="25"/>
      <c r="N399" s="22"/>
      <c r="O399" s="23"/>
      <c r="P399" s="20"/>
      <c r="Q399" s="23"/>
      <c r="R399" s="24"/>
      <c r="S399" s="24"/>
    </row>
    <row r="400" spans="1:19" s="19" customFormat="1" ht="15.75">
      <c r="A400" s="44" t="s">
        <v>253</v>
      </c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89" customFormat="1">
      <c r="A401" s="88" t="s">
        <v>254</v>
      </c>
      <c r="B401" s="89" t="s">
        <v>18</v>
      </c>
      <c r="C401" s="87"/>
      <c r="D401" s="90" t="s">
        <v>33</v>
      </c>
      <c r="E401" s="91"/>
      <c r="F401" s="92">
        <v>1</v>
      </c>
      <c r="G401" s="93" t="s">
        <v>20</v>
      </c>
      <c r="H401" s="92">
        <v>20</v>
      </c>
      <c r="I401" s="93" t="s">
        <v>33</v>
      </c>
      <c r="J401" s="94">
        <f>6200*12</f>
        <v>74400</v>
      </c>
      <c r="K401" s="90" t="s">
        <v>33</v>
      </c>
      <c r="L401" s="95">
        <v>0.125</v>
      </c>
      <c r="M401" s="95">
        <v>0.05</v>
      </c>
      <c r="N401" s="92"/>
      <c r="O401" s="93" t="s">
        <v>33</v>
      </c>
      <c r="P401" s="87">
        <f>(C401+(E401*F401*H401))-N401</f>
        <v>0</v>
      </c>
      <c r="Q401" s="93" t="s">
        <v>33</v>
      </c>
      <c r="R401" s="94">
        <f>P401*(J401-(J401*L401)-((J401-(J401*L401))*M401))</f>
        <v>0</v>
      </c>
      <c r="S401" s="94">
        <f t="shared" si="144"/>
        <v>0</v>
      </c>
    </row>
    <row r="402" spans="1:19" s="89" customFormat="1">
      <c r="A402" s="88" t="s">
        <v>255</v>
      </c>
      <c r="B402" s="89" t="s">
        <v>18</v>
      </c>
      <c r="C402" s="87"/>
      <c r="D402" s="90" t="s">
        <v>33</v>
      </c>
      <c r="E402" s="91"/>
      <c r="F402" s="92">
        <v>1</v>
      </c>
      <c r="G402" s="93" t="s">
        <v>20</v>
      </c>
      <c r="H402" s="92">
        <v>20</v>
      </c>
      <c r="I402" s="93" t="s">
        <v>33</v>
      </c>
      <c r="J402" s="94">
        <f>6800*12</f>
        <v>81600</v>
      </c>
      <c r="K402" s="90" t="s">
        <v>33</v>
      </c>
      <c r="L402" s="95">
        <v>0.125</v>
      </c>
      <c r="M402" s="95">
        <v>0.05</v>
      </c>
      <c r="N402" s="92"/>
      <c r="O402" s="93" t="s">
        <v>33</v>
      </c>
      <c r="P402" s="87">
        <f>(C402+(E402*F402*H402))-N402</f>
        <v>0</v>
      </c>
      <c r="Q402" s="93" t="s">
        <v>33</v>
      </c>
      <c r="R402" s="94">
        <f>P402*(J402-(J402*L402)-((J402-(J402*L402))*M402))</f>
        <v>0</v>
      </c>
      <c r="S402" s="94">
        <f t="shared" si="144"/>
        <v>0</v>
      </c>
    </row>
    <row r="403" spans="1:19" s="106" customFormat="1">
      <c r="A403" s="98" t="s">
        <v>878</v>
      </c>
      <c r="B403" s="106" t="s">
        <v>18</v>
      </c>
      <c r="C403" s="107"/>
      <c r="D403" s="108" t="s">
        <v>33</v>
      </c>
      <c r="E403" s="109">
        <v>1</v>
      </c>
      <c r="F403" s="110">
        <v>1</v>
      </c>
      <c r="G403" s="111" t="s">
        <v>20</v>
      </c>
      <c r="H403" s="110">
        <v>10</v>
      </c>
      <c r="I403" s="111" t="s">
        <v>33</v>
      </c>
      <c r="J403" s="112">
        <v>135600</v>
      </c>
      <c r="K403" s="108" t="s">
        <v>33</v>
      </c>
      <c r="L403" s="113">
        <v>0.125</v>
      </c>
      <c r="M403" s="113">
        <v>0.05</v>
      </c>
      <c r="N403" s="110"/>
      <c r="O403" s="111" t="s">
        <v>33</v>
      </c>
      <c r="P403" s="107">
        <f>(C403+(E403*F403*H403))-N403</f>
        <v>10</v>
      </c>
      <c r="Q403" s="111" t="s">
        <v>33</v>
      </c>
      <c r="R403" s="112">
        <f>P403*(J403-(J403*L403)-((J403-(J403*L403))*M403))</f>
        <v>1127175</v>
      </c>
      <c r="S403" s="112">
        <f t="shared" ref="S403" si="181">R403/1.11</f>
        <v>1015472.9729729729</v>
      </c>
    </row>
    <row r="404" spans="1:19" s="19" customFormat="1">
      <c r="A404" s="18"/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 ht="15.75">
      <c r="A405" s="44" t="s">
        <v>256</v>
      </c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>
      <c r="A406" s="71" t="s">
        <v>257</v>
      </c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89" customFormat="1">
      <c r="A407" s="88" t="s">
        <v>258</v>
      </c>
      <c r="B407" s="89" t="s">
        <v>25</v>
      </c>
      <c r="C407" s="87"/>
      <c r="D407" s="90" t="s">
        <v>99</v>
      </c>
      <c r="E407" s="91"/>
      <c r="F407" s="92">
        <v>1</v>
      </c>
      <c r="G407" s="93" t="s">
        <v>20</v>
      </c>
      <c r="H407" s="92">
        <v>50</v>
      </c>
      <c r="I407" s="93" t="s">
        <v>99</v>
      </c>
      <c r="J407" s="94">
        <f>740000/50</f>
        <v>14800</v>
      </c>
      <c r="K407" s="90" t="s">
        <v>99</v>
      </c>
      <c r="L407" s="95"/>
      <c r="M407" s="95">
        <v>0.17</v>
      </c>
      <c r="N407" s="92"/>
      <c r="O407" s="93" t="s">
        <v>99</v>
      </c>
      <c r="P407" s="87">
        <f>(C407+(E407*F407*H407))-N407</f>
        <v>0</v>
      </c>
      <c r="Q407" s="93" t="s">
        <v>99</v>
      </c>
      <c r="R407" s="94">
        <f>P407*(J407-(J407*L407)-((J407-(J407*L407))*M407))</f>
        <v>0</v>
      </c>
      <c r="S407" s="94">
        <f t="shared" si="144"/>
        <v>0</v>
      </c>
    </row>
    <row r="408" spans="1:19" s="19" customFormat="1">
      <c r="A408" s="71" t="s">
        <v>259</v>
      </c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18" t="s">
        <v>260</v>
      </c>
      <c r="B409" s="19" t="s">
        <v>261</v>
      </c>
      <c r="C409" s="20">
        <v>250</v>
      </c>
      <c r="D409" s="21" t="s">
        <v>99</v>
      </c>
      <c r="E409" s="26"/>
      <c r="F409" s="22">
        <v>1</v>
      </c>
      <c r="G409" s="23" t="s">
        <v>20</v>
      </c>
      <c r="H409" s="22">
        <v>50</v>
      </c>
      <c r="I409" s="23" t="s">
        <v>99</v>
      </c>
      <c r="J409" s="24">
        <v>32500</v>
      </c>
      <c r="K409" s="21" t="s">
        <v>99</v>
      </c>
      <c r="L409" s="25"/>
      <c r="M409" s="25"/>
      <c r="N409" s="22"/>
      <c r="O409" s="23" t="s">
        <v>99</v>
      </c>
      <c r="P409" s="20">
        <f>(C409+(E409*F409*H409))-N409</f>
        <v>250</v>
      </c>
      <c r="Q409" s="23" t="s">
        <v>99</v>
      </c>
      <c r="R409" s="24">
        <f>P409*(J409-(J409*L409)-((J409-(J409*L409))*M409))</f>
        <v>8125000</v>
      </c>
      <c r="S409" s="24">
        <f t="shared" ref="S409:S506" si="182">R409/1.11</f>
        <v>7319819.8198198192</v>
      </c>
    </row>
    <row r="410" spans="1:19" s="19" customFormat="1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 ht="15.75">
      <c r="A411" s="44" t="s">
        <v>262</v>
      </c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89" customFormat="1">
      <c r="A412" s="88" t="s">
        <v>263</v>
      </c>
      <c r="B412" s="89" t="s">
        <v>18</v>
      </c>
      <c r="C412" s="87"/>
      <c r="D412" s="90" t="s">
        <v>103</v>
      </c>
      <c r="E412" s="91"/>
      <c r="F412" s="92">
        <v>8</v>
      </c>
      <c r="G412" s="93" t="s">
        <v>33</v>
      </c>
      <c r="H412" s="92">
        <v>25</v>
      </c>
      <c r="I412" s="93" t="s">
        <v>103</v>
      </c>
      <c r="J412" s="94">
        <v>4000</v>
      </c>
      <c r="K412" s="90" t="s">
        <v>103</v>
      </c>
      <c r="L412" s="95">
        <v>0.125</v>
      </c>
      <c r="M412" s="95">
        <v>0.05</v>
      </c>
      <c r="N412" s="92"/>
      <c r="O412" s="93" t="s">
        <v>103</v>
      </c>
      <c r="P412" s="87">
        <f>(C412+(E412*F412*H412))-N412</f>
        <v>0</v>
      </c>
      <c r="Q412" s="93" t="s">
        <v>103</v>
      </c>
      <c r="R412" s="94">
        <f>P412*(J412-(J412*L412)-((J412-(J412*L412))*M412))</f>
        <v>0</v>
      </c>
      <c r="S412" s="94">
        <f t="shared" si="182"/>
        <v>0</v>
      </c>
    </row>
    <row r="413" spans="1:19" s="89" customFormat="1">
      <c r="A413" s="88" t="s">
        <v>264</v>
      </c>
      <c r="B413" s="89" t="s">
        <v>18</v>
      </c>
      <c r="C413" s="87"/>
      <c r="D413" s="90" t="s">
        <v>77</v>
      </c>
      <c r="E413" s="91"/>
      <c r="F413" s="92">
        <v>1</v>
      </c>
      <c r="G413" s="93" t="s">
        <v>20</v>
      </c>
      <c r="H413" s="92">
        <v>48</v>
      </c>
      <c r="I413" s="93" t="s">
        <v>77</v>
      </c>
      <c r="J413" s="94">
        <v>30000</v>
      </c>
      <c r="K413" s="90" t="s">
        <v>77</v>
      </c>
      <c r="L413" s="95">
        <v>0.125</v>
      </c>
      <c r="M413" s="95">
        <v>0.05</v>
      </c>
      <c r="N413" s="92"/>
      <c r="O413" s="93" t="s">
        <v>77</v>
      </c>
      <c r="P413" s="87">
        <f>(C413+(E413*F413*H413))-N413</f>
        <v>0</v>
      </c>
      <c r="Q413" s="93" t="s">
        <v>77</v>
      </c>
      <c r="R413" s="94">
        <f>P413*(J413-(J413*L413)-((J413-(J413*L413))*M413))</f>
        <v>0</v>
      </c>
      <c r="S413" s="94">
        <f t="shared" si="182"/>
        <v>0</v>
      </c>
    </row>
    <row r="414" spans="1:19" s="106" customFormat="1">
      <c r="A414" s="98" t="s">
        <v>265</v>
      </c>
      <c r="B414" s="106" t="s">
        <v>18</v>
      </c>
      <c r="C414" s="107"/>
      <c r="D414" s="108" t="s">
        <v>77</v>
      </c>
      <c r="E414" s="109">
        <v>1</v>
      </c>
      <c r="F414" s="110">
        <v>1</v>
      </c>
      <c r="G414" s="111" t="s">
        <v>20</v>
      </c>
      <c r="H414" s="110">
        <v>48</v>
      </c>
      <c r="I414" s="111" t="s">
        <v>77</v>
      </c>
      <c r="J414" s="112">
        <v>23000</v>
      </c>
      <c r="K414" s="108" t="s">
        <v>77</v>
      </c>
      <c r="L414" s="113">
        <v>0.125</v>
      </c>
      <c r="M414" s="113">
        <v>0.05</v>
      </c>
      <c r="N414" s="110"/>
      <c r="O414" s="111" t="s">
        <v>77</v>
      </c>
      <c r="P414" s="107">
        <f>(C414+(E414*F414*H414))-N414</f>
        <v>48</v>
      </c>
      <c r="Q414" s="111" t="s">
        <v>77</v>
      </c>
      <c r="R414" s="112">
        <f>P414*(J414-(J414*L414)-((J414-(J414*L414))*M414))</f>
        <v>917700</v>
      </c>
      <c r="S414" s="112">
        <f t="shared" si="182"/>
        <v>826756.75675675669</v>
      </c>
    </row>
    <row r="415" spans="1:19" s="19" customFormat="1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89" customFormat="1">
      <c r="A416" s="88" t="s">
        <v>266</v>
      </c>
      <c r="B416" s="89" t="s">
        <v>25</v>
      </c>
      <c r="C416" s="87"/>
      <c r="D416" s="90" t="s">
        <v>103</v>
      </c>
      <c r="E416" s="91"/>
      <c r="F416" s="92">
        <v>80</v>
      </c>
      <c r="G416" s="93" t="s">
        <v>33</v>
      </c>
      <c r="H416" s="92">
        <v>25</v>
      </c>
      <c r="I416" s="93" t="s">
        <v>103</v>
      </c>
      <c r="J416" s="94">
        <v>4500</v>
      </c>
      <c r="K416" s="90" t="s">
        <v>103</v>
      </c>
      <c r="L416" s="95"/>
      <c r="M416" s="95">
        <v>0.17</v>
      </c>
      <c r="N416" s="92"/>
      <c r="O416" s="93" t="s">
        <v>103</v>
      </c>
      <c r="P416" s="87">
        <f>(C416+(E416*F416*H416))-N416</f>
        <v>0</v>
      </c>
      <c r="Q416" s="93" t="s">
        <v>103</v>
      </c>
      <c r="R416" s="94">
        <f>P416*(J416-(J416*L416)-((J416-(J416*L416))*M416))</f>
        <v>0</v>
      </c>
      <c r="S416" s="94">
        <f t="shared" si="182"/>
        <v>0</v>
      </c>
    </row>
    <row r="417" spans="1:19" s="89" customFormat="1">
      <c r="A417" s="88" t="s">
        <v>267</v>
      </c>
      <c r="B417" s="89" t="s">
        <v>25</v>
      </c>
      <c r="C417" s="87"/>
      <c r="D417" s="90" t="s">
        <v>77</v>
      </c>
      <c r="E417" s="91"/>
      <c r="F417" s="92">
        <v>1</v>
      </c>
      <c r="G417" s="93" t="s">
        <v>20</v>
      </c>
      <c r="H417" s="92">
        <v>48</v>
      </c>
      <c r="I417" s="93" t="s">
        <v>77</v>
      </c>
      <c r="J417" s="94">
        <v>23500</v>
      </c>
      <c r="K417" s="90" t="s">
        <v>77</v>
      </c>
      <c r="L417" s="95"/>
      <c r="M417" s="95">
        <v>0.17</v>
      </c>
      <c r="N417" s="92"/>
      <c r="O417" s="93" t="s">
        <v>77</v>
      </c>
      <c r="P417" s="87">
        <f>(C417+(E417*F417*H417))-N417</f>
        <v>0</v>
      </c>
      <c r="Q417" s="93" t="s">
        <v>77</v>
      </c>
      <c r="R417" s="94">
        <f>P417*(J417-(J417*L417)-((J417-(J417*L417))*M417))</f>
        <v>0</v>
      </c>
      <c r="S417" s="94">
        <f t="shared" si="182"/>
        <v>0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 ht="15.75">
      <c r="A419" s="44" t="s">
        <v>268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18" t="s">
        <v>269</v>
      </c>
      <c r="B420" s="19" t="s">
        <v>18</v>
      </c>
      <c r="C420" s="20">
        <v>286</v>
      </c>
      <c r="D420" s="21" t="s">
        <v>152</v>
      </c>
      <c r="E420" s="26">
        <v>7</v>
      </c>
      <c r="F420" s="22">
        <v>10</v>
      </c>
      <c r="G420" s="23" t="s">
        <v>33</v>
      </c>
      <c r="H420" s="22">
        <v>24</v>
      </c>
      <c r="I420" s="23" t="s">
        <v>152</v>
      </c>
      <c r="J420" s="24">
        <v>8800</v>
      </c>
      <c r="K420" s="21" t="s">
        <v>152</v>
      </c>
      <c r="L420" s="25">
        <v>0.125</v>
      </c>
      <c r="M420" s="25">
        <v>0.05</v>
      </c>
      <c r="N420" s="22"/>
      <c r="O420" s="23" t="s">
        <v>152</v>
      </c>
      <c r="P420" s="20">
        <f t="shared" ref="P420:P439" si="183">(C420+(E420*F420*H420))-N420</f>
        <v>1966</v>
      </c>
      <c r="Q420" s="23" t="s">
        <v>152</v>
      </c>
      <c r="R420" s="24">
        <f t="shared" ref="R420:R439" si="184">P420*(J420-(J420*L420)-((J420-(J420*L420))*M420))</f>
        <v>14381290</v>
      </c>
      <c r="S420" s="24">
        <f t="shared" si="182"/>
        <v>12956117.117117116</v>
      </c>
    </row>
    <row r="421" spans="1:19" s="89" customFormat="1">
      <c r="A421" s="88" t="s">
        <v>270</v>
      </c>
      <c r="B421" s="89" t="s">
        <v>18</v>
      </c>
      <c r="C421" s="87"/>
      <c r="D421" s="90" t="s">
        <v>152</v>
      </c>
      <c r="E421" s="91"/>
      <c r="F421" s="92">
        <v>6</v>
      </c>
      <c r="G421" s="93" t="s">
        <v>33</v>
      </c>
      <c r="H421" s="92">
        <v>24</v>
      </c>
      <c r="I421" s="93" t="s">
        <v>152</v>
      </c>
      <c r="J421" s="94">
        <v>29500</v>
      </c>
      <c r="K421" s="90" t="s">
        <v>152</v>
      </c>
      <c r="L421" s="95">
        <v>0.125</v>
      </c>
      <c r="M421" s="95">
        <v>0.05</v>
      </c>
      <c r="N421" s="92"/>
      <c r="O421" s="93" t="s">
        <v>152</v>
      </c>
      <c r="P421" s="87">
        <f t="shared" si="183"/>
        <v>0</v>
      </c>
      <c r="Q421" s="93" t="s">
        <v>152</v>
      </c>
      <c r="R421" s="94">
        <f t="shared" si="184"/>
        <v>0</v>
      </c>
      <c r="S421" s="94">
        <f t="shared" si="182"/>
        <v>0</v>
      </c>
    </row>
    <row r="422" spans="1:19" s="89" customFormat="1">
      <c r="A422" s="88" t="s">
        <v>271</v>
      </c>
      <c r="B422" s="89" t="s">
        <v>18</v>
      </c>
      <c r="C422" s="87"/>
      <c r="D422" s="90" t="s">
        <v>152</v>
      </c>
      <c r="E422" s="91"/>
      <c r="F422" s="92">
        <v>12</v>
      </c>
      <c r="G422" s="93" t="s">
        <v>33</v>
      </c>
      <c r="H422" s="92">
        <v>12</v>
      </c>
      <c r="I422" s="93" t="s">
        <v>152</v>
      </c>
      <c r="J422" s="94">
        <v>19600</v>
      </c>
      <c r="K422" s="90" t="s">
        <v>152</v>
      </c>
      <c r="L422" s="95">
        <v>0.125</v>
      </c>
      <c r="M422" s="95">
        <v>0.05</v>
      </c>
      <c r="N422" s="92"/>
      <c r="O422" s="93" t="s">
        <v>152</v>
      </c>
      <c r="P422" s="87">
        <f t="shared" si="183"/>
        <v>0</v>
      </c>
      <c r="Q422" s="93" t="s">
        <v>152</v>
      </c>
      <c r="R422" s="94">
        <f t="shared" si="184"/>
        <v>0</v>
      </c>
      <c r="S422" s="94">
        <f t="shared" si="182"/>
        <v>0</v>
      </c>
    </row>
    <row r="423" spans="1:19" s="19" customFormat="1">
      <c r="A423" s="18" t="s">
        <v>272</v>
      </c>
      <c r="B423" s="19" t="s">
        <v>18</v>
      </c>
      <c r="C423" s="20">
        <v>120</v>
      </c>
      <c r="D423" s="21" t="s">
        <v>152</v>
      </c>
      <c r="E423" s="26"/>
      <c r="F423" s="22">
        <v>12</v>
      </c>
      <c r="G423" s="23" t="s">
        <v>33</v>
      </c>
      <c r="H423" s="22">
        <v>12</v>
      </c>
      <c r="I423" s="23" t="s">
        <v>152</v>
      </c>
      <c r="J423" s="24">
        <v>18500</v>
      </c>
      <c r="K423" s="21" t="s">
        <v>152</v>
      </c>
      <c r="L423" s="25">
        <v>0.125</v>
      </c>
      <c r="M423" s="25">
        <v>0.05</v>
      </c>
      <c r="N423" s="22"/>
      <c r="O423" s="23" t="s">
        <v>152</v>
      </c>
      <c r="P423" s="20">
        <f t="shared" si="183"/>
        <v>120</v>
      </c>
      <c r="Q423" s="23" t="s">
        <v>152</v>
      </c>
      <c r="R423" s="24">
        <f t="shared" si="184"/>
        <v>1845375</v>
      </c>
      <c r="S423" s="24">
        <f t="shared" si="182"/>
        <v>1662499.9999999998</v>
      </c>
    </row>
    <row r="424" spans="1:19" s="89" customFormat="1">
      <c r="A424" s="88" t="s">
        <v>273</v>
      </c>
      <c r="B424" s="89" t="s">
        <v>18</v>
      </c>
      <c r="C424" s="87"/>
      <c r="D424" s="90" t="s">
        <v>152</v>
      </c>
      <c r="E424" s="91"/>
      <c r="F424" s="92">
        <v>10</v>
      </c>
      <c r="G424" s="93" t="s">
        <v>33</v>
      </c>
      <c r="H424" s="92">
        <v>24</v>
      </c>
      <c r="I424" s="93" t="s">
        <v>152</v>
      </c>
      <c r="J424" s="94">
        <v>10600</v>
      </c>
      <c r="K424" s="90" t="s">
        <v>152</v>
      </c>
      <c r="L424" s="95">
        <v>0.125</v>
      </c>
      <c r="M424" s="95">
        <v>0.05</v>
      </c>
      <c r="N424" s="92"/>
      <c r="O424" s="93" t="s">
        <v>152</v>
      </c>
      <c r="P424" s="87">
        <f t="shared" si="183"/>
        <v>0</v>
      </c>
      <c r="Q424" s="93" t="s">
        <v>152</v>
      </c>
      <c r="R424" s="94">
        <f t="shared" si="184"/>
        <v>0</v>
      </c>
      <c r="S424" s="94">
        <f t="shared" si="182"/>
        <v>0</v>
      </c>
    </row>
    <row r="425" spans="1:19" s="19" customFormat="1">
      <c r="A425" s="18" t="s">
        <v>274</v>
      </c>
      <c r="B425" s="19" t="s">
        <v>18</v>
      </c>
      <c r="C425" s="20">
        <v>204</v>
      </c>
      <c r="D425" s="21" t="s">
        <v>152</v>
      </c>
      <c r="E425" s="26"/>
      <c r="F425" s="22">
        <v>20</v>
      </c>
      <c r="G425" s="23" t="s">
        <v>33</v>
      </c>
      <c r="H425" s="22">
        <v>12</v>
      </c>
      <c r="I425" s="23" t="s">
        <v>152</v>
      </c>
      <c r="J425" s="24">
        <v>4000</v>
      </c>
      <c r="K425" s="21" t="s">
        <v>152</v>
      </c>
      <c r="L425" s="25">
        <v>0.4</v>
      </c>
      <c r="M425" s="25">
        <v>0.05</v>
      </c>
      <c r="N425" s="22"/>
      <c r="O425" s="23" t="s">
        <v>152</v>
      </c>
      <c r="P425" s="20">
        <f t="shared" si="183"/>
        <v>204</v>
      </c>
      <c r="Q425" s="23" t="s">
        <v>152</v>
      </c>
      <c r="R425" s="24">
        <f t="shared" si="184"/>
        <v>465120</v>
      </c>
      <c r="S425" s="24">
        <f t="shared" si="182"/>
        <v>419027.02702702698</v>
      </c>
    </row>
    <row r="426" spans="1:19" s="19" customFormat="1">
      <c r="A426" s="18" t="s">
        <v>737</v>
      </c>
      <c r="B426" s="19" t="s">
        <v>18</v>
      </c>
      <c r="C426" s="20">
        <v>6</v>
      </c>
      <c r="D426" s="21" t="s">
        <v>152</v>
      </c>
      <c r="E426" s="26"/>
      <c r="F426" s="22">
        <v>12</v>
      </c>
      <c r="G426" s="23" t="s">
        <v>33</v>
      </c>
      <c r="H426" s="22">
        <v>12</v>
      </c>
      <c r="I426" s="23" t="s">
        <v>152</v>
      </c>
      <c r="J426" s="24">
        <v>34500</v>
      </c>
      <c r="K426" s="21" t="s">
        <v>152</v>
      </c>
      <c r="L426" s="25">
        <v>0.125</v>
      </c>
      <c r="M426" s="25">
        <v>0.05</v>
      </c>
      <c r="N426" s="22"/>
      <c r="O426" s="23" t="s">
        <v>152</v>
      </c>
      <c r="P426" s="20">
        <f t="shared" si="183"/>
        <v>6</v>
      </c>
      <c r="Q426" s="23" t="s">
        <v>152</v>
      </c>
      <c r="R426" s="24">
        <f t="shared" si="184"/>
        <v>172068.75</v>
      </c>
      <c r="S426" s="24">
        <f t="shared" si="182"/>
        <v>155016.89189189186</v>
      </c>
    </row>
    <row r="427" spans="1:19" s="80" customFormat="1">
      <c r="A427" s="79" t="s">
        <v>859</v>
      </c>
      <c r="B427" s="80" t="s">
        <v>18</v>
      </c>
      <c r="C427" s="81"/>
      <c r="D427" s="82" t="s">
        <v>152</v>
      </c>
      <c r="E427" s="83"/>
      <c r="F427" s="84">
        <v>1</v>
      </c>
      <c r="G427" s="85" t="s">
        <v>20</v>
      </c>
      <c r="H427" s="84">
        <v>240</v>
      </c>
      <c r="I427" s="85" t="s">
        <v>40</v>
      </c>
      <c r="J427" s="16">
        <v>26400</v>
      </c>
      <c r="K427" s="82" t="s">
        <v>40</v>
      </c>
      <c r="L427" s="86">
        <v>0.125</v>
      </c>
      <c r="M427" s="86">
        <v>0.05</v>
      </c>
      <c r="N427" s="84"/>
      <c r="O427" s="85" t="s">
        <v>40</v>
      </c>
      <c r="P427" s="81">
        <f t="shared" si="183"/>
        <v>0</v>
      </c>
      <c r="Q427" s="85" t="s">
        <v>40</v>
      </c>
      <c r="R427" s="16">
        <f t="shared" si="184"/>
        <v>0</v>
      </c>
      <c r="S427" s="16">
        <f t="shared" si="182"/>
        <v>0</v>
      </c>
    </row>
    <row r="428" spans="1:19" s="80" customFormat="1">
      <c r="A428" s="79" t="s">
        <v>860</v>
      </c>
      <c r="B428" s="80" t="s">
        <v>18</v>
      </c>
      <c r="C428" s="81"/>
      <c r="D428" s="82" t="s">
        <v>152</v>
      </c>
      <c r="E428" s="83"/>
      <c r="F428" s="84">
        <v>1</v>
      </c>
      <c r="G428" s="85" t="s">
        <v>20</v>
      </c>
      <c r="H428" s="84">
        <v>240</v>
      </c>
      <c r="I428" s="85" t="s">
        <v>40</v>
      </c>
      <c r="J428" s="16">
        <v>26400</v>
      </c>
      <c r="K428" s="82" t="s">
        <v>40</v>
      </c>
      <c r="L428" s="86">
        <v>0.125</v>
      </c>
      <c r="M428" s="86">
        <v>0.05</v>
      </c>
      <c r="N428" s="84"/>
      <c r="O428" s="85" t="s">
        <v>40</v>
      </c>
      <c r="P428" s="81">
        <f t="shared" si="183"/>
        <v>0</v>
      </c>
      <c r="Q428" s="85" t="s">
        <v>40</v>
      </c>
      <c r="R428" s="16">
        <f t="shared" si="184"/>
        <v>0</v>
      </c>
      <c r="S428" s="16">
        <f t="shared" si="182"/>
        <v>0</v>
      </c>
    </row>
    <row r="429" spans="1:19" s="80" customFormat="1">
      <c r="A429" s="79" t="s">
        <v>861</v>
      </c>
      <c r="B429" s="80" t="s">
        <v>18</v>
      </c>
      <c r="C429" s="81"/>
      <c r="D429" s="82" t="s">
        <v>152</v>
      </c>
      <c r="E429" s="83"/>
      <c r="F429" s="84">
        <v>1</v>
      </c>
      <c r="G429" s="85" t="s">
        <v>20</v>
      </c>
      <c r="H429" s="84">
        <v>240</v>
      </c>
      <c r="I429" s="85" t="s">
        <v>40</v>
      </c>
      <c r="J429" s="16">
        <v>30000</v>
      </c>
      <c r="K429" s="82" t="s">
        <v>40</v>
      </c>
      <c r="L429" s="86">
        <v>0.125</v>
      </c>
      <c r="M429" s="86">
        <v>0.05</v>
      </c>
      <c r="N429" s="84"/>
      <c r="O429" s="85" t="s">
        <v>40</v>
      </c>
      <c r="P429" s="81">
        <f t="shared" si="183"/>
        <v>0</v>
      </c>
      <c r="Q429" s="85" t="s">
        <v>40</v>
      </c>
      <c r="R429" s="16">
        <f t="shared" si="184"/>
        <v>0</v>
      </c>
      <c r="S429" s="16">
        <f t="shared" si="182"/>
        <v>0</v>
      </c>
    </row>
    <row r="430" spans="1:19" s="80" customFormat="1">
      <c r="A430" s="79" t="s">
        <v>862</v>
      </c>
      <c r="B430" s="80" t="s">
        <v>18</v>
      </c>
      <c r="C430" s="81"/>
      <c r="D430" s="82" t="s">
        <v>152</v>
      </c>
      <c r="E430" s="83"/>
      <c r="F430" s="84">
        <v>1</v>
      </c>
      <c r="G430" s="85" t="s">
        <v>20</v>
      </c>
      <c r="H430" s="84">
        <v>240</v>
      </c>
      <c r="I430" s="85" t="s">
        <v>40</v>
      </c>
      <c r="J430" s="16">
        <v>31200</v>
      </c>
      <c r="K430" s="82" t="s">
        <v>40</v>
      </c>
      <c r="L430" s="86">
        <v>0.125</v>
      </c>
      <c r="M430" s="86">
        <v>0.05</v>
      </c>
      <c r="N430" s="84"/>
      <c r="O430" s="85" t="s">
        <v>40</v>
      </c>
      <c r="P430" s="81">
        <f t="shared" si="183"/>
        <v>0</v>
      </c>
      <c r="Q430" s="85" t="s">
        <v>40</v>
      </c>
      <c r="R430" s="16">
        <f t="shared" si="184"/>
        <v>0</v>
      </c>
      <c r="S430" s="16">
        <f t="shared" si="182"/>
        <v>0</v>
      </c>
    </row>
    <row r="431" spans="1:19" s="80" customFormat="1">
      <c r="A431" s="79" t="s">
        <v>863</v>
      </c>
      <c r="B431" s="80" t="s">
        <v>18</v>
      </c>
      <c r="C431" s="81"/>
      <c r="D431" s="82" t="s">
        <v>152</v>
      </c>
      <c r="E431" s="83"/>
      <c r="F431" s="84">
        <v>1</v>
      </c>
      <c r="G431" s="85" t="s">
        <v>20</v>
      </c>
      <c r="H431" s="84"/>
      <c r="I431" s="85" t="s">
        <v>40</v>
      </c>
      <c r="J431" s="16"/>
      <c r="K431" s="82" t="s">
        <v>40</v>
      </c>
      <c r="L431" s="86">
        <v>0.125</v>
      </c>
      <c r="M431" s="86">
        <v>0.05</v>
      </c>
      <c r="N431" s="84"/>
      <c r="O431" s="85" t="s">
        <v>40</v>
      </c>
      <c r="P431" s="81">
        <f t="shared" si="183"/>
        <v>0</v>
      </c>
      <c r="Q431" s="85" t="s">
        <v>40</v>
      </c>
      <c r="R431" s="16">
        <f t="shared" si="184"/>
        <v>0</v>
      </c>
      <c r="S431" s="16">
        <f t="shared" si="182"/>
        <v>0</v>
      </c>
    </row>
    <row r="432" spans="1:19" s="80" customFormat="1">
      <c r="A432" s="79" t="s">
        <v>864</v>
      </c>
      <c r="B432" s="80" t="s">
        <v>18</v>
      </c>
      <c r="C432" s="81"/>
      <c r="D432" s="82" t="s">
        <v>152</v>
      </c>
      <c r="E432" s="83"/>
      <c r="F432" s="84">
        <v>1</v>
      </c>
      <c r="G432" s="85" t="s">
        <v>20</v>
      </c>
      <c r="H432" s="84">
        <v>240</v>
      </c>
      <c r="I432" s="85" t="s">
        <v>40</v>
      </c>
      <c r="J432" s="16">
        <v>37800</v>
      </c>
      <c r="K432" s="82" t="s">
        <v>40</v>
      </c>
      <c r="L432" s="86">
        <v>0.125</v>
      </c>
      <c r="M432" s="86">
        <v>0.05</v>
      </c>
      <c r="N432" s="84"/>
      <c r="O432" s="85" t="s">
        <v>40</v>
      </c>
      <c r="P432" s="81">
        <f t="shared" si="183"/>
        <v>0</v>
      </c>
      <c r="Q432" s="85" t="s">
        <v>40</v>
      </c>
      <c r="R432" s="16">
        <f t="shared" si="184"/>
        <v>0</v>
      </c>
      <c r="S432" s="16">
        <f t="shared" si="182"/>
        <v>0</v>
      </c>
    </row>
    <row r="433" spans="1:19" s="80" customFormat="1">
      <c r="A433" s="79" t="s">
        <v>865</v>
      </c>
      <c r="B433" s="80" t="s">
        <v>18</v>
      </c>
      <c r="C433" s="81"/>
      <c r="D433" s="82" t="s">
        <v>152</v>
      </c>
      <c r="E433" s="83"/>
      <c r="F433" s="84">
        <v>1</v>
      </c>
      <c r="G433" s="85" t="s">
        <v>20</v>
      </c>
      <c r="H433" s="84"/>
      <c r="I433" s="85" t="s">
        <v>40</v>
      </c>
      <c r="J433" s="16"/>
      <c r="K433" s="82" t="s">
        <v>40</v>
      </c>
      <c r="L433" s="86">
        <v>0.125</v>
      </c>
      <c r="M433" s="86">
        <v>0.05</v>
      </c>
      <c r="N433" s="84"/>
      <c r="O433" s="85" t="s">
        <v>40</v>
      </c>
      <c r="P433" s="81">
        <f t="shared" si="183"/>
        <v>0</v>
      </c>
      <c r="Q433" s="85" t="s">
        <v>40</v>
      </c>
      <c r="R433" s="16">
        <f t="shared" si="184"/>
        <v>0</v>
      </c>
      <c r="S433" s="16">
        <f t="shared" si="182"/>
        <v>0</v>
      </c>
    </row>
    <row r="434" spans="1:19" s="80" customFormat="1">
      <c r="A434" s="79" t="s">
        <v>866</v>
      </c>
      <c r="B434" s="80" t="s">
        <v>18</v>
      </c>
      <c r="C434" s="81"/>
      <c r="D434" s="82" t="s">
        <v>152</v>
      </c>
      <c r="E434" s="83"/>
      <c r="F434" s="84">
        <v>1</v>
      </c>
      <c r="G434" s="85" t="s">
        <v>20</v>
      </c>
      <c r="H434" s="84">
        <v>240</v>
      </c>
      <c r="I434" s="85" t="s">
        <v>40</v>
      </c>
      <c r="J434" s="16">
        <v>41400</v>
      </c>
      <c r="K434" s="82" t="s">
        <v>40</v>
      </c>
      <c r="L434" s="86">
        <v>0.125</v>
      </c>
      <c r="M434" s="86">
        <v>0.05</v>
      </c>
      <c r="N434" s="84"/>
      <c r="O434" s="85" t="s">
        <v>40</v>
      </c>
      <c r="P434" s="81">
        <f t="shared" si="183"/>
        <v>0</v>
      </c>
      <c r="Q434" s="85" t="s">
        <v>40</v>
      </c>
      <c r="R434" s="16">
        <f t="shared" si="184"/>
        <v>0</v>
      </c>
      <c r="S434" s="16">
        <f t="shared" si="182"/>
        <v>0</v>
      </c>
    </row>
    <row r="435" spans="1:19" s="80" customFormat="1">
      <c r="A435" s="79" t="s">
        <v>867</v>
      </c>
      <c r="B435" s="80" t="s">
        <v>18</v>
      </c>
      <c r="C435" s="81"/>
      <c r="D435" s="82" t="s">
        <v>152</v>
      </c>
      <c r="E435" s="83"/>
      <c r="F435" s="84">
        <v>1</v>
      </c>
      <c r="G435" s="85" t="s">
        <v>20</v>
      </c>
      <c r="H435" s="84">
        <v>240</v>
      </c>
      <c r="I435" s="85" t="s">
        <v>40</v>
      </c>
      <c r="J435" s="16">
        <v>45600</v>
      </c>
      <c r="K435" s="82" t="s">
        <v>40</v>
      </c>
      <c r="L435" s="86">
        <v>0.125</v>
      </c>
      <c r="M435" s="86">
        <v>0.05</v>
      </c>
      <c r="N435" s="84"/>
      <c r="O435" s="85" t="s">
        <v>40</v>
      </c>
      <c r="P435" s="81">
        <f t="shared" si="183"/>
        <v>0</v>
      </c>
      <c r="Q435" s="85" t="s">
        <v>40</v>
      </c>
      <c r="R435" s="16">
        <f t="shared" si="184"/>
        <v>0</v>
      </c>
      <c r="S435" s="16">
        <f t="shared" si="182"/>
        <v>0</v>
      </c>
    </row>
    <row r="436" spans="1:19" s="80" customFormat="1">
      <c r="A436" s="79" t="s">
        <v>868</v>
      </c>
      <c r="B436" s="80" t="s">
        <v>18</v>
      </c>
      <c r="C436" s="81"/>
      <c r="D436" s="82" t="s">
        <v>152</v>
      </c>
      <c r="E436" s="83"/>
      <c r="F436" s="84">
        <v>1</v>
      </c>
      <c r="G436" s="85" t="s">
        <v>20</v>
      </c>
      <c r="H436" s="84">
        <v>108</v>
      </c>
      <c r="I436" s="85" t="s">
        <v>40</v>
      </c>
      <c r="J436" s="16">
        <v>51000</v>
      </c>
      <c r="K436" s="82" t="s">
        <v>40</v>
      </c>
      <c r="L436" s="86">
        <v>0.125</v>
      </c>
      <c r="M436" s="86">
        <v>0.05</v>
      </c>
      <c r="N436" s="84"/>
      <c r="O436" s="85" t="s">
        <v>40</v>
      </c>
      <c r="P436" s="81">
        <f t="shared" si="183"/>
        <v>0</v>
      </c>
      <c r="Q436" s="85" t="s">
        <v>40</v>
      </c>
      <c r="R436" s="16">
        <f t="shared" si="184"/>
        <v>0</v>
      </c>
      <c r="S436" s="16">
        <f t="shared" si="182"/>
        <v>0</v>
      </c>
    </row>
    <row r="437" spans="1:19" s="80" customFormat="1">
      <c r="A437" s="79" t="s">
        <v>869</v>
      </c>
      <c r="B437" s="80" t="s">
        <v>18</v>
      </c>
      <c r="C437" s="81"/>
      <c r="D437" s="82" t="s">
        <v>152</v>
      </c>
      <c r="E437" s="83"/>
      <c r="F437" s="84">
        <v>1</v>
      </c>
      <c r="G437" s="85" t="s">
        <v>20</v>
      </c>
      <c r="H437" s="84">
        <v>108</v>
      </c>
      <c r="I437" s="85" t="s">
        <v>40</v>
      </c>
      <c r="J437" s="16">
        <v>55200</v>
      </c>
      <c r="K437" s="82" t="s">
        <v>40</v>
      </c>
      <c r="L437" s="86">
        <v>0.125</v>
      </c>
      <c r="M437" s="86">
        <v>0.05</v>
      </c>
      <c r="N437" s="84"/>
      <c r="O437" s="85" t="s">
        <v>40</v>
      </c>
      <c r="P437" s="81">
        <f t="shared" si="183"/>
        <v>0</v>
      </c>
      <c r="Q437" s="85" t="s">
        <v>40</v>
      </c>
      <c r="R437" s="16">
        <f t="shared" si="184"/>
        <v>0</v>
      </c>
      <c r="S437" s="16">
        <f t="shared" si="182"/>
        <v>0</v>
      </c>
    </row>
    <row r="438" spans="1:19" s="80" customFormat="1">
      <c r="A438" s="79" t="s">
        <v>870</v>
      </c>
      <c r="B438" s="80" t="s">
        <v>18</v>
      </c>
      <c r="C438" s="81"/>
      <c r="D438" s="82" t="s">
        <v>152</v>
      </c>
      <c r="E438" s="83"/>
      <c r="F438" s="84">
        <v>1</v>
      </c>
      <c r="G438" s="85" t="s">
        <v>20</v>
      </c>
      <c r="H438" s="84">
        <v>108</v>
      </c>
      <c r="I438" s="85" t="s">
        <v>40</v>
      </c>
      <c r="J438" s="16">
        <v>60300</v>
      </c>
      <c r="K438" s="82" t="s">
        <v>40</v>
      </c>
      <c r="L438" s="86">
        <v>0.125</v>
      </c>
      <c r="M438" s="86">
        <v>0.05</v>
      </c>
      <c r="N438" s="84"/>
      <c r="O438" s="85" t="s">
        <v>40</v>
      </c>
      <c r="P438" s="81">
        <f t="shared" si="183"/>
        <v>0</v>
      </c>
      <c r="Q438" s="85" t="s">
        <v>40</v>
      </c>
      <c r="R438" s="16">
        <f t="shared" si="184"/>
        <v>0</v>
      </c>
      <c r="S438" s="16">
        <f t="shared" si="182"/>
        <v>0</v>
      </c>
    </row>
    <row r="439" spans="1:19" s="80" customFormat="1">
      <c r="A439" s="79" t="s">
        <v>871</v>
      </c>
      <c r="B439" s="80" t="s">
        <v>18</v>
      </c>
      <c r="C439" s="81"/>
      <c r="D439" s="82" t="s">
        <v>152</v>
      </c>
      <c r="E439" s="83"/>
      <c r="F439" s="84">
        <v>1</v>
      </c>
      <c r="G439" s="85" t="s">
        <v>20</v>
      </c>
      <c r="H439" s="84">
        <v>108</v>
      </c>
      <c r="I439" s="85" t="s">
        <v>40</v>
      </c>
      <c r="J439" s="16">
        <v>65400</v>
      </c>
      <c r="K439" s="82" t="s">
        <v>40</v>
      </c>
      <c r="L439" s="86">
        <v>0.125</v>
      </c>
      <c r="M439" s="86">
        <v>0.05</v>
      </c>
      <c r="N439" s="84"/>
      <c r="O439" s="85" t="s">
        <v>40</v>
      </c>
      <c r="P439" s="81">
        <f t="shared" si="183"/>
        <v>0</v>
      </c>
      <c r="Q439" s="85" t="s">
        <v>40</v>
      </c>
      <c r="R439" s="16">
        <f t="shared" si="184"/>
        <v>0</v>
      </c>
      <c r="S439" s="16">
        <f t="shared" si="182"/>
        <v>0</v>
      </c>
    </row>
    <row r="440" spans="1:19" s="19" customFormat="1">
      <c r="A440" s="18"/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 ht="15.75">
      <c r="A441" s="44" t="s">
        <v>275</v>
      </c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71" t="s">
        <v>276</v>
      </c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>
      <c r="A443" s="18" t="s">
        <v>277</v>
      </c>
      <c r="B443" s="19" t="s">
        <v>18</v>
      </c>
      <c r="C443" s="20">
        <v>4270</v>
      </c>
      <c r="D443" s="21" t="s">
        <v>278</v>
      </c>
      <c r="E443" s="26">
        <v>24</v>
      </c>
      <c r="F443" s="22">
        <v>100</v>
      </c>
      <c r="G443" s="23" t="s">
        <v>99</v>
      </c>
      <c r="H443" s="22">
        <v>10</v>
      </c>
      <c r="I443" s="23" t="s">
        <v>278</v>
      </c>
      <c r="J443" s="24">
        <v>2050</v>
      </c>
      <c r="K443" s="21" t="s">
        <v>278</v>
      </c>
      <c r="L443" s="25">
        <v>0.125</v>
      </c>
      <c r="M443" s="25">
        <v>0.05</v>
      </c>
      <c r="N443" s="22"/>
      <c r="O443" s="23" t="s">
        <v>278</v>
      </c>
      <c r="P443" s="20">
        <f t="shared" ref="P443:P452" si="185">(C443+(E443*F443*H443))-N443</f>
        <v>28270</v>
      </c>
      <c r="Q443" s="23" t="s">
        <v>278</v>
      </c>
      <c r="R443" s="24">
        <f t="shared" ref="R443:R452" si="186">P443*(J443-(J443*L443)-((J443-(J443*L443))*M443))</f>
        <v>48173846.875</v>
      </c>
      <c r="S443" s="24">
        <f t="shared" si="182"/>
        <v>43399862.049549542</v>
      </c>
    </row>
    <row r="444" spans="1:19" s="19" customFormat="1">
      <c r="A444" s="18" t="s">
        <v>279</v>
      </c>
      <c r="B444" s="19" t="s">
        <v>18</v>
      </c>
      <c r="C444" s="20">
        <v>1300</v>
      </c>
      <c r="D444" s="21" t="s">
        <v>278</v>
      </c>
      <c r="E444" s="26">
        <v>5</v>
      </c>
      <c r="F444" s="22">
        <v>100</v>
      </c>
      <c r="G444" s="23" t="s">
        <v>99</v>
      </c>
      <c r="H444" s="22">
        <v>10</v>
      </c>
      <c r="I444" s="23" t="s">
        <v>278</v>
      </c>
      <c r="J444" s="24">
        <v>3000</v>
      </c>
      <c r="K444" s="21" t="s">
        <v>278</v>
      </c>
      <c r="L444" s="25">
        <v>0.125</v>
      </c>
      <c r="M444" s="25">
        <v>0.05</v>
      </c>
      <c r="N444" s="22"/>
      <c r="O444" s="23" t="s">
        <v>278</v>
      </c>
      <c r="P444" s="20">
        <f t="shared" si="185"/>
        <v>6300</v>
      </c>
      <c r="Q444" s="23" t="s">
        <v>278</v>
      </c>
      <c r="R444" s="24">
        <f t="shared" si="186"/>
        <v>15710625</v>
      </c>
      <c r="S444" s="24">
        <f t="shared" si="182"/>
        <v>14153716.216216216</v>
      </c>
    </row>
    <row r="445" spans="1:19" s="19" customFormat="1">
      <c r="A445" s="18" t="s">
        <v>888</v>
      </c>
      <c r="B445" s="19" t="s">
        <v>18</v>
      </c>
      <c r="C445" s="20"/>
      <c r="D445" s="21" t="s">
        <v>278</v>
      </c>
      <c r="E445" s="26">
        <v>1</v>
      </c>
      <c r="F445" s="22">
        <v>50</v>
      </c>
      <c r="G445" s="23" t="s">
        <v>99</v>
      </c>
      <c r="H445" s="22">
        <v>10</v>
      </c>
      <c r="I445" s="23" t="s">
        <v>278</v>
      </c>
      <c r="J445" s="24">
        <v>3300</v>
      </c>
      <c r="K445" s="21" t="s">
        <v>278</v>
      </c>
      <c r="L445" s="25">
        <v>0.125</v>
      </c>
      <c r="M445" s="25">
        <v>0.05</v>
      </c>
      <c r="N445" s="22"/>
      <c r="O445" s="23" t="s">
        <v>278</v>
      </c>
      <c r="P445" s="20">
        <f t="shared" ref="P445" si="187">(C445+(E445*F445*H445))-N445</f>
        <v>500</v>
      </c>
      <c r="Q445" s="23" t="s">
        <v>278</v>
      </c>
      <c r="R445" s="24">
        <f t="shared" ref="R445" si="188">P445*(J445-(J445*L445)-((J445-(J445*L445))*M445))</f>
        <v>1371562.5</v>
      </c>
      <c r="S445" s="24">
        <f t="shared" ref="S445" si="189">R445/1.11</f>
        <v>1235641.8918918918</v>
      </c>
    </row>
    <row r="446" spans="1:19" s="19" customFormat="1">
      <c r="A446" s="18" t="s">
        <v>280</v>
      </c>
      <c r="B446" s="19" t="s">
        <v>18</v>
      </c>
      <c r="C446" s="20">
        <v>350</v>
      </c>
      <c r="D446" s="21" t="s">
        <v>278</v>
      </c>
      <c r="E446" s="26">
        <v>9</v>
      </c>
      <c r="F446" s="22">
        <v>50</v>
      </c>
      <c r="G446" s="23" t="s">
        <v>99</v>
      </c>
      <c r="H446" s="22">
        <v>10</v>
      </c>
      <c r="I446" s="23" t="s">
        <v>278</v>
      </c>
      <c r="J446" s="24">
        <v>3050</v>
      </c>
      <c r="K446" s="21" t="s">
        <v>278</v>
      </c>
      <c r="L446" s="25">
        <v>0.125</v>
      </c>
      <c r="M446" s="25">
        <v>0.05</v>
      </c>
      <c r="N446" s="22"/>
      <c r="O446" s="23" t="s">
        <v>278</v>
      </c>
      <c r="P446" s="20">
        <f t="shared" si="185"/>
        <v>4850</v>
      </c>
      <c r="Q446" s="23" t="s">
        <v>278</v>
      </c>
      <c r="R446" s="24">
        <f t="shared" si="186"/>
        <v>12296265.625</v>
      </c>
      <c r="S446" s="24">
        <f t="shared" si="182"/>
        <v>11077716.779279279</v>
      </c>
    </row>
    <row r="447" spans="1:19" s="19" customFormat="1">
      <c r="A447" s="18" t="s">
        <v>281</v>
      </c>
      <c r="B447" s="19" t="s">
        <v>18</v>
      </c>
      <c r="C447" s="20">
        <v>850</v>
      </c>
      <c r="D447" s="21" t="s">
        <v>278</v>
      </c>
      <c r="E447" s="26">
        <v>1</v>
      </c>
      <c r="F447" s="22">
        <v>50</v>
      </c>
      <c r="G447" s="23" t="s">
        <v>99</v>
      </c>
      <c r="H447" s="22">
        <v>10</v>
      </c>
      <c r="I447" s="23" t="s">
        <v>278</v>
      </c>
      <c r="J447" s="24">
        <v>4200</v>
      </c>
      <c r="K447" s="21" t="s">
        <v>278</v>
      </c>
      <c r="L447" s="25">
        <v>0.125</v>
      </c>
      <c r="M447" s="25">
        <v>0.05</v>
      </c>
      <c r="N447" s="22"/>
      <c r="O447" s="23" t="s">
        <v>278</v>
      </c>
      <c r="P447" s="20">
        <f t="shared" si="185"/>
        <v>1350</v>
      </c>
      <c r="Q447" s="23" t="s">
        <v>278</v>
      </c>
      <c r="R447" s="24">
        <f t="shared" si="186"/>
        <v>4713187.5</v>
      </c>
      <c r="S447" s="24">
        <f t="shared" si="182"/>
        <v>4246114.8648648644</v>
      </c>
    </row>
    <row r="448" spans="1:19" s="19" customFormat="1">
      <c r="A448" s="56" t="s">
        <v>282</v>
      </c>
      <c r="B448" s="19" t="s">
        <v>18</v>
      </c>
      <c r="C448" s="20">
        <v>2500</v>
      </c>
      <c r="D448" s="21" t="s">
        <v>278</v>
      </c>
      <c r="E448" s="26"/>
      <c r="F448" s="22">
        <v>50</v>
      </c>
      <c r="G448" s="23" t="s">
        <v>99</v>
      </c>
      <c r="H448" s="22">
        <v>10</v>
      </c>
      <c r="I448" s="23" t="s">
        <v>278</v>
      </c>
      <c r="J448" s="24">
        <v>4300</v>
      </c>
      <c r="K448" s="21" t="s">
        <v>278</v>
      </c>
      <c r="L448" s="25">
        <v>0.125</v>
      </c>
      <c r="M448" s="25">
        <v>0.05</v>
      </c>
      <c r="N448" s="22"/>
      <c r="O448" s="23" t="s">
        <v>278</v>
      </c>
      <c r="P448" s="20">
        <f t="shared" si="185"/>
        <v>2500</v>
      </c>
      <c r="Q448" s="23" t="s">
        <v>278</v>
      </c>
      <c r="R448" s="24">
        <f t="shared" si="186"/>
        <v>8935937.5</v>
      </c>
      <c r="S448" s="24">
        <f t="shared" si="182"/>
        <v>8050394.144144143</v>
      </c>
    </row>
    <row r="449" spans="1:19" s="89" customFormat="1">
      <c r="A449" s="147" t="s">
        <v>283</v>
      </c>
      <c r="B449" s="89" t="s">
        <v>18</v>
      </c>
      <c r="C449" s="87"/>
      <c r="D449" s="90" t="s">
        <v>278</v>
      </c>
      <c r="E449" s="91"/>
      <c r="F449" s="92">
        <v>100</v>
      </c>
      <c r="G449" s="93" t="s">
        <v>99</v>
      </c>
      <c r="H449" s="92">
        <v>10</v>
      </c>
      <c r="I449" s="93" t="s">
        <v>278</v>
      </c>
      <c r="J449" s="94">
        <v>3000</v>
      </c>
      <c r="K449" s="90" t="s">
        <v>278</v>
      </c>
      <c r="L449" s="95">
        <v>0.125</v>
      </c>
      <c r="M449" s="95">
        <v>0.05</v>
      </c>
      <c r="N449" s="92"/>
      <c r="O449" s="93" t="s">
        <v>278</v>
      </c>
      <c r="P449" s="87">
        <f t="shared" si="185"/>
        <v>0</v>
      </c>
      <c r="Q449" s="93" t="s">
        <v>278</v>
      </c>
      <c r="R449" s="94">
        <f t="shared" si="186"/>
        <v>0</v>
      </c>
      <c r="S449" s="94">
        <f t="shared" si="182"/>
        <v>0</v>
      </c>
    </row>
    <row r="450" spans="1:19" s="89" customFormat="1">
      <c r="A450" s="147" t="s">
        <v>284</v>
      </c>
      <c r="B450" s="89" t="s">
        <v>18</v>
      </c>
      <c r="C450" s="87"/>
      <c r="D450" s="90" t="s">
        <v>278</v>
      </c>
      <c r="E450" s="91"/>
      <c r="F450" s="92">
        <v>100</v>
      </c>
      <c r="G450" s="93" t="s">
        <v>99</v>
      </c>
      <c r="H450" s="92">
        <v>10</v>
      </c>
      <c r="I450" s="93" t="s">
        <v>278</v>
      </c>
      <c r="J450" s="94">
        <v>3000</v>
      </c>
      <c r="K450" s="90" t="s">
        <v>278</v>
      </c>
      <c r="L450" s="95">
        <v>0.125</v>
      </c>
      <c r="M450" s="95">
        <v>0.05</v>
      </c>
      <c r="N450" s="92"/>
      <c r="O450" s="93" t="s">
        <v>278</v>
      </c>
      <c r="P450" s="87">
        <f t="shared" si="185"/>
        <v>0</v>
      </c>
      <c r="Q450" s="93" t="s">
        <v>278</v>
      </c>
      <c r="R450" s="94">
        <f t="shared" si="186"/>
        <v>0</v>
      </c>
      <c r="S450" s="94">
        <f t="shared" si="182"/>
        <v>0</v>
      </c>
    </row>
    <row r="451" spans="1:19" s="89" customFormat="1">
      <c r="A451" s="147" t="s">
        <v>285</v>
      </c>
      <c r="B451" s="89" t="s">
        <v>18</v>
      </c>
      <c r="C451" s="87"/>
      <c r="D451" s="90" t="s">
        <v>278</v>
      </c>
      <c r="E451" s="91"/>
      <c r="F451" s="92">
        <v>50</v>
      </c>
      <c r="G451" s="93" t="s">
        <v>99</v>
      </c>
      <c r="H451" s="92">
        <v>10</v>
      </c>
      <c r="I451" s="93" t="s">
        <v>278</v>
      </c>
      <c r="J451" s="94">
        <v>4300</v>
      </c>
      <c r="K451" s="90" t="s">
        <v>278</v>
      </c>
      <c r="L451" s="95">
        <v>0.125</v>
      </c>
      <c r="M451" s="95">
        <v>0.05</v>
      </c>
      <c r="N451" s="92"/>
      <c r="O451" s="93" t="s">
        <v>278</v>
      </c>
      <c r="P451" s="87">
        <f t="shared" si="185"/>
        <v>0</v>
      </c>
      <c r="Q451" s="93" t="s">
        <v>278</v>
      </c>
      <c r="R451" s="94">
        <f t="shared" si="186"/>
        <v>0</v>
      </c>
      <c r="S451" s="94">
        <f t="shared" si="182"/>
        <v>0</v>
      </c>
    </row>
    <row r="452" spans="1:19" s="89" customFormat="1">
      <c r="A452" s="147" t="s">
        <v>286</v>
      </c>
      <c r="B452" s="89" t="s">
        <v>18</v>
      </c>
      <c r="C452" s="87"/>
      <c r="D452" s="90" t="s">
        <v>99</v>
      </c>
      <c r="E452" s="91"/>
      <c r="F452" s="92">
        <v>1</v>
      </c>
      <c r="G452" s="93" t="s">
        <v>20</v>
      </c>
      <c r="H452" s="92">
        <v>50</v>
      </c>
      <c r="I452" s="93" t="s">
        <v>99</v>
      </c>
      <c r="J452" s="94">
        <v>15500</v>
      </c>
      <c r="K452" s="90" t="s">
        <v>99</v>
      </c>
      <c r="L452" s="95">
        <v>0.125</v>
      </c>
      <c r="M452" s="95">
        <v>0.05</v>
      </c>
      <c r="N452" s="92"/>
      <c r="O452" s="93" t="s">
        <v>99</v>
      </c>
      <c r="P452" s="87">
        <f t="shared" si="185"/>
        <v>0</v>
      </c>
      <c r="Q452" s="93" t="s">
        <v>99</v>
      </c>
      <c r="R452" s="94">
        <f t="shared" si="186"/>
        <v>0</v>
      </c>
      <c r="S452" s="94">
        <f t="shared" si="182"/>
        <v>0</v>
      </c>
    </row>
    <row r="453" spans="1:19" s="19" customFormat="1">
      <c r="A453" s="4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18" t="s">
        <v>287</v>
      </c>
      <c r="B454" s="19" t="s">
        <v>25</v>
      </c>
      <c r="C454" s="20">
        <v>290</v>
      </c>
      <c r="D454" s="21" t="s">
        <v>288</v>
      </c>
      <c r="E454" s="26">
        <v>16</v>
      </c>
      <c r="F454" s="22">
        <v>1</v>
      </c>
      <c r="G454" s="23" t="s">
        <v>20</v>
      </c>
      <c r="H454" s="22">
        <v>50</v>
      </c>
      <c r="I454" s="23" t="s">
        <v>288</v>
      </c>
      <c r="J454" s="24">
        <f>1050000/50</f>
        <v>21000</v>
      </c>
      <c r="K454" s="21" t="s">
        <v>288</v>
      </c>
      <c r="L454" s="25"/>
      <c r="M454" s="25">
        <v>0.17</v>
      </c>
      <c r="N454" s="22"/>
      <c r="O454" s="23" t="s">
        <v>288</v>
      </c>
      <c r="P454" s="20">
        <f>(C454+(E454*F454*H454))-N454</f>
        <v>1090</v>
      </c>
      <c r="Q454" s="23" t="s">
        <v>288</v>
      </c>
      <c r="R454" s="24">
        <f>P454*(J454-(J454*L454)-((J454-(J454*L454))*M454))</f>
        <v>18998700</v>
      </c>
      <c r="S454" s="24">
        <f t="shared" si="182"/>
        <v>17115945.945945945</v>
      </c>
    </row>
    <row r="455" spans="1:19" s="19" customFormat="1">
      <c r="A455" s="18" t="s">
        <v>289</v>
      </c>
      <c r="B455" s="19" t="s">
        <v>25</v>
      </c>
      <c r="C455" s="20">
        <v>175</v>
      </c>
      <c r="D455" s="21" t="s">
        <v>288</v>
      </c>
      <c r="E455" s="26">
        <v>1</v>
      </c>
      <c r="F455" s="22">
        <v>1</v>
      </c>
      <c r="G455" s="23" t="s">
        <v>20</v>
      </c>
      <c r="H455" s="22">
        <v>50</v>
      </c>
      <c r="I455" s="23" t="s">
        <v>288</v>
      </c>
      <c r="J455" s="24">
        <f>1350000/50</f>
        <v>27000</v>
      </c>
      <c r="K455" s="21" t="s">
        <v>288</v>
      </c>
      <c r="L455" s="25"/>
      <c r="M455" s="25">
        <v>0.17</v>
      </c>
      <c r="N455" s="22"/>
      <c r="O455" s="23" t="s">
        <v>288</v>
      </c>
      <c r="P455" s="20">
        <f>(C455+(E455*F455*H455))-N455</f>
        <v>225</v>
      </c>
      <c r="Q455" s="23" t="s">
        <v>288</v>
      </c>
      <c r="R455" s="24">
        <f>P455*(J455-(J455*L455)-((J455-(J455*L455))*M455))</f>
        <v>5042250</v>
      </c>
      <c r="S455" s="24">
        <f t="shared" si="182"/>
        <v>4542567.5675675673</v>
      </c>
    </row>
    <row r="456" spans="1:19" s="19" customFormat="1">
      <c r="A456" s="18"/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>
      <c r="A457" s="71" t="s">
        <v>290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19" customFormat="1">
      <c r="A458" s="18" t="s">
        <v>291</v>
      </c>
      <c r="B458" s="19" t="s">
        <v>18</v>
      </c>
      <c r="C458" s="20">
        <v>2</v>
      </c>
      <c r="D458" s="21" t="s">
        <v>19</v>
      </c>
      <c r="E458" s="26">
        <v>13</v>
      </c>
      <c r="F458" s="22">
        <v>1</v>
      </c>
      <c r="G458" s="23" t="s">
        <v>20</v>
      </c>
      <c r="H458" s="22">
        <v>20</v>
      </c>
      <c r="I458" s="23" t="s">
        <v>19</v>
      </c>
      <c r="J458" s="24">
        <v>40500</v>
      </c>
      <c r="K458" s="21" t="s">
        <v>19</v>
      </c>
      <c r="L458" s="25">
        <v>0.125</v>
      </c>
      <c r="M458" s="25">
        <v>0.05</v>
      </c>
      <c r="N458" s="22"/>
      <c r="O458" s="23" t="s">
        <v>19</v>
      </c>
      <c r="P458" s="20">
        <f>(C458+(E458*F458*H458))-N458</f>
        <v>262</v>
      </c>
      <c r="Q458" s="23" t="s">
        <v>19</v>
      </c>
      <c r="R458" s="24">
        <f>P458*(J458-(J458*L458)-((J458-(J458*L458))*M458))</f>
        <v>8820393.75</v>
      </c>
      <c r="S458" s="24">
        <f t="shared" si="182"/>
        <v>7946300.6756756753</v>
      </c>
    </row>
    <row r="459" spans="1:19" s="106" customFormat="1">
      <c r="A459" s="98" t="s">
        <v>872</v>
      </c>
      <c r="B459" s="106" t="s">
        <v>18</v>
      </c>
      <c r="C459" s="107">
        <v>8</v>
      </c>
      <c r="D459" s="108" t="s">
        <v>19</v>
      </c>
      <c r="E459" s="109">
        <v>2</v>
      </c>
      <c r="F459" s="110">
        <v>1</v>
      </c>
      <c r="G459" s="111" t="s">
        <v>20</v>
      </c>
      <c r="H459" s="110">
        <v>20</v>
      </c>
      <c r="I459" s="111" t="s">
        <v>19</v>
      </c>
      <c r="J459" s="112">
        <v>94500</v>
      </c>
      <c r="K459" s="108" t="s">
        <v>19</v>
      </c>
      <c r="L459" s="113">
        <v>0.125</v>
      </c>
      <c r="M459" s="113">
        <v>0.05</v>
      </c>
      <c r="N459" s="110"/>
      <c r="O459" s="111" t="s">
        <v>19</v>
      </c>
      <c r="P459" s="107">
        <f>(C459+(E459*F459*H459))-N459</f>
        <v>48</v>
      </c>
      <c r="Q459" s="111" t="s">
        <v>19</v>
      </c>
      <c r="R459" s="112">
        <f>P459*(J459-(J459*L459)-((J459-(J459*L459))*M459))</f>
        <v>3770550</v>
      </c>
      <c r="S459" s="112">
        <f t="shared" si="182"/>
        <v>3396891.8918918916</v>
      </c>
    </row>
    <row r="460" spans="1:19" s="19" customFormat="1">
      <c r="A460" s="18"/>
      <c r="C460" s="20"/>
      <c r="D460" s="21"/>
      <c r="E460" s="26"/>
      <c r="F460" s="22"/>
      <c r="G460" s="23"/>
      <c r="H460" s="22"/>
      <c r="I460" s="23"/>
      <c r="J460" s="24"/>
      <c r="K460" s="21"/>
      <c r="L460" s="25"/>
      <c r="M460" s="25"/>
      <c r="N460" s="22"/>
      <c r="O460" s="23"/>
      <c r="P460" s="20"/>
      <c r="Q460" s="23"/>
      <c r="R460" s="24"/>
      <c r="S460" s="24"/>
    </row>
    <row r="461" spans="1:19" s="19" customFormat="1">
      <c r="A461" s="18" t="s">
        <v>292</v>
      </c>
      <c r="B461" s="19" t="s">
        <v>25</v>
      </c>
      <c r="C461" s="20">
        <v>34</v>
      </c>
      <c r="D461" s="21" t="s">
        <v>19</v>
      </c>
      <c r="E461" s="26">
        <v>6</v>
      </c>
      <c r="F461" s="22">
        <v>1</v>
      </c>
      <c r="G461" s="23" t="s">
        <v>20</v>
      </c>
      <c r="H461" s="22">
        <v>50</v>
      </c>
      <c r="I461" s="23" t="s">
        <v>19</v>
      </c>
      <c r="J461" s="24">
        <f>2250000/50</f>
        <v>45000</v>
      </c>
      <c r="K461" s="21" t="s">
        <v>19</v>
      </c>
      <c r="L461" s="25"/>
      <c r="M461" s="25">
        <v>0.17</v>
      </c>
      <c r="N461" s="22"/>
      <c r="O461" s="23" t="s">
        <v>19</v>
      </c>
      <c r="P461" s="20">
        <f>(C461+(E461*F461*H461))-N461</f>
        <v>334</v>
      </c>
      <c r="Q461" s="23" t="s">
        <v>19</v>
      </c>
      <c r="R461" s="24">
        <f>P461*(J461-(J461*L461)-((J461-(J461*L461))*M461))</f>
        <v>12474900</v>
      </c>
      <c r="S461" s="24">
        <f t="shared" si="182"/>
        <v>11238648.648648648</v>
      </c>
    </row>
    <row r="462" spans="1:19" s="19" customFormat="1">
      <c r="A462" s="18" t="s">
        <v>293</v>
      </c>
      <c r="B462" s="19" t="s">
        <v>25</v>
      </c>
      <c r="C462" s="20"/>
      <c r="D462" s="21" t="s">
        <v>19</v>
      </c>
      <c r="E462" s="26">
        <v>1</v>
      </c>
      <c r="F462" s="22">
        <v>1</v>
      </c>
      <c r="G462" s="23" t="s">
        <v>20</v>
      </c>
      <c r="H462" s="22">
        <v>50</v>
      </c>
      <c r="I462" s="23" t="s">
        <v>19</v>
      </c>
      <c r="J462" s="24">
        <f>2750000/50</f>
        <v>55000</v>
      </c>
      <c r="K462" s="21" t="s">
        <v>19</v>
      </c>
      <c r="L462" s="25"/>
      <c r="M462" s="25">
        <v>0.17</v>
      </c>
      <c r="N462" s="22"/>
      <c r="O462" s="23" t="s">
        <v>19</v>
      </c>
      <c r="P462" s="20">
        <f>(C462+(E462*F462*H462))-N462</f>
        <v>50</v>
      </c>
      <c r="Q462" s="23" t="s">
        <v>19</v>
      </c>
      <c r="R462" s="24">
        <f>P462*(J462-(J462*L462)-((J462-(J462*L462))*M462))</f>
        <v>2282500</v>
      </c>
      <c r="S462" s="24">
        <f t="shared" si="182"/>
        <v>2056306.306306306</v>
      </c>
    </row>
    <row r="463" spans="1:19" s="19" customFormat="1">
      <c r="A463" s="49" t="s">
        <v>294</v>
      </c>
      <c r="B463" s="19" t="s">
        <v>25</v>
      </c>
      <c r="C463" s="20">
        <v>54</v>
      </c>
      <c r="D463" s="21" t="s">
        <v>19</v>
      </c>
      <c r="E463" s="26">
        <v>1</v>
      </c>
      <c r="F463" s="22">
        <v>1</v>
      </c>
      <c r="G463" s="23" t="s">
        <v>20</v>
      </c>
      <c r="H463" s="22">
        <v>50</v>
      </c>
      <c r="I463" s="23" t="s">
        <v>19</v>
      </c>
      <c r="J463" s="24">
        <f>4750000/50</f>
        <v>95000</v>
      </c>
      <c r="K463" s="21" t="s">
        <v>19</v>
      </c>
      <c r="L463" s="25"/>
      <c r="M463" s="25">
        <v>0.17</v>
      </c>
      <c r="N463" s="22"/>
      <c r="O463" s="23" t="s">
        <v>19</v>
      </c>
      <c r="P463" s="20">
        <f>(C463+(E463*F463*H463))-N463</f>
        <v>104</v>
      </c>
      <c r="Q463" s="23" t="s">
        <v>19</v>
      </c>
      <c r="R463" s="24">
        <f>P463*(J463-(J463*L463)-((J463-(J463*L463))*M463))</f>
        <v>8200400</v>
      </c>
      <c r="S463" s="24">
        <f t="shared" si="182"/>
        <v>7387747.7477477472</v>
      </c>
    </row>
    <row r="464" spans="1:19" s="19" customFormat="1">
      <c r="A464" s="18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</row>
    <row r="465" spans="1:19" s="19" customFormat="1" ht="15.75">
      <c r="A465" s="44" t="s">
        <v>295</v>
      </c>
      <c r="C465" s="20"/>
      <c r="D465" s="21"/>
      <c r="E465" s="26"/>
      <c r="F465" s="22"/>
      <c r="G465" s="23"/>
      <c r="H465" s="22"/>
      <c r="I465" s="23"/>
      <c r="J465" s="24"/>
      <c r="K465" s="21"/>
      <c r="L465" s="25"/>
      <c r="M465" s="25"/>
      <c r="N465" s="22"/>
      <c r="O465" s="23"/>
      <c r="P465" s="20"/>
      <c r="Q465" s="23"/>
      <c r="R465" s="24"/>
      <c r="S465" s="24"/>
    </row>
    <row r="466" spans="1:19" s="89" customFormat="1">
      <c r="A466" s="88" t="s">
        <v>787</v>
      </c>
      <c r="B466" s="89" t="s">
        <v>18</v>
      </c>
      <c r="C466" s="87"/>
      <c r="D466" s="90" t="s">
        <v>99</v>
      </c>
      <c r="E466" s="91"/>
      <c r="F466" s="92">
        <v>1</v>
      </c>
      <c r="G466" s="93" t="s">
        <v>20</v>
      </c>
      <c r="H466" s="92">
        <v>10</v>
      </c>
      <c r="I466" s="93" t="s">
        <v>99</v>
      </c>
      <c r="J466" s="94">
        <v>85000</v>
      </c>
      <c r="K466" s="90" t="s">
        <v>99</v>
      </c>
      <c r="L466" s="95">
        <v>0.125</v>
      </c>
      <c r="M466" s="95">
        <v>0.05</v>
      </c>
      <c r="N466" s="92"/>
      <c r="O466" s="93" t="s">
        <v>99</v>
      </c>
      <c r="P466" s="87">
        <f>(C466+(E466*F466*H466))-N466</f>
        <v>0</v>
      </c>
      <c r="Q466" s="93" t="s">
        <v>99</v>
      </c>
      <c r="R466" s="94">
        <f>P466*(J466-(J466*L466)-((J466-(J466*L466))*M466))</f>
        <v>0</v>
      </c>
      <c r="S466" s="94">
        <f t="shared" ref="S466:S467" si="190">R466/1.11</f>
        <v>0</v>
      </c>
    </row>
    <row r="467" spans="1:19" s="106" customFormat="1">
      <c r="A467" s="98" t="s">
        <v>296</v>
      </c>
      <c r="B467" s="106" t="s">
        <v>18</v>
      </c>
      <c r="C467" s="107"/>
      <c r="D467" s="108" t="s">
        <v>99</v>
      </c>
      <c r="E467" s="109">
        <v>2</v>
      </c>
      <c r="F467" s="110">
        <v>1</v>
      </c>
      <c r="G467" s="111" t="s">
        <v>20</v>
      </c>
      <c r="H467" s="110">
        <v>10</v>
      </c>
      <c r="I467" s="111" t="s">
        <v>99</v>
      </c>
      <c r="J467" s="112">
        <v>95000</v>
      </c>
      <c r="K467" s="108" t="s">
        <v>99</v>
      </c>
      <c r="L467" s="113">
        <v>0.125</v>
      </c>
      <c r="M467" s="113">
        <v>0.05</v>
      </c>
      <c r="N467" s="110"/>
      <c r="O467" s="111" t="s">
        <v>99</v>
      </c>
      <c r="P467" s="107">
        <f>(C467+(E467*F467*H467))-N467</f>
        <v>20</v>
      </c>
      <c r="Q467" s="111" t="s">
        <v>99</v>
      </c>
      <c r="R467" s="112">
        <f>P467*(J467-(J467*L467)-((J467-(J467*L467))*M467))</f>
        <v>1579375</v>
      </c>
      <c r="S467" s="112">
        <f t="shared" si="190"/>
        <v>1422860.3603603602</v>
      </c>
    </row>
    <row r="468" spans="1:19" s="19" customFormat="1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>
      <c r="A469" s="18" t="s">
        <v>297</v>
      </c>
      <c r="B469" s="19" t="s">
        <v>25</v>
      </c>
      <c r="C469" s="20">
        <v>100</v>
      </c>
      <c r="D469" s="21" t="s">
        <v>99</v>
      </c>
      <c r="E469" s="26">
        <v>23</v>
      </c>
      <c r="F469" s="22">
        <v>1</v>
      </c>
      <c r="G469" s="23" t="s">
        <v>20</v>
      </c>
      <c r="H469" s="22">
        <v>10</v>
      </c>
      <c r="I469" s="23" t="s">
        <v>99</v>
      </c>
      <c r="J469" s="24">
        <f>1150000/10</f>
        <v>115000</v>
      </c>
      <c r="K469" s="21" t="s">
        <v>99</v>
      </c>
      <c r="L469" s="25"/>
      <c r="M469" s="25">
        <v>0.17</v>
      </c>
      <c r="N469" s="22"/>
      <c r="O469" s="23" t="s">
        <v>99</v>
      </c>
      <c r="P469" s="20">
        <f>(C469+(E469*F469*H469))-N469</f>
        <v>330</v>
      </c>
      <c r="Q469" s="23" t="s">
        <v>99</v>
      </c>
      <c r="R469" s="24">
        <f>P469*(J469-(J469*L469)-((J469-(J469*L469))*M469))</f>
        <v>31498500</v>
      </c>
      <c r="S469" s="24">
        <f t="shared" si="182"/>
        <v>28377027.027027026</v>
      </c>
    </row>
    <row r="470" spans="1:19" s="19" customFormat="1">
      <c r="A470" s="18"/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 ht="15.75">
      <c r="A471" s="44" t="s">
        <v>298</v>
      </c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/>
    </row>
    <row r="472" spans="1:19" s="19" customFormat="1">
      <c r="A472" s="71" t="s">
        <v>299</v>
      </c>
      <c r="C472" s="20"/>
      <c r="D472" s="21"/>
      <c r="E472" s="26"/>
      <c r="F472" s="22"/>
      <c r="G472" s="23"/>
      <c r="H472" s="22"/>
      <c r="I472" s="23"/>
      <c r="J472" s="24"/>
      <c r="K472" s="21"/>
      <c r="L472" s="25"/>
      <c r="M472" s="25"/>
      <c r="N472" s="22"/>
      <c r="O472" s="23"/>
      <c r="P472" s="20"/>
      <c r="Q472" s="23"/>
      <c r="R472" s="24"/>
      <c r="S472" s="24"/>
    </row>
    <row r="473" spans="1:19" s="89" customFormat="1">
      <c r="A473" s="88" t="s">
        <v>300</v>
      </c>
      <c r="B473" s="89" t="s">
        <v>18</v>
      </c>
      <c r="C473" s="87"/>
      <c r="D473" s="90" t="s">
        <v>40</v>
      </c>
      <c r="E473" s="91"/>
      <c r="F473" s="92">
        <v>48</v>
      </c>
      <c r="G473" s="93" t="s">
        <v>33</v>
      </c>
      <c r="H473" s="92">
        <v>1</v>
      </c>
      <c r="I473" s="93" t="s">
        <v>40</v>
      </c>
      <c r="J473" s="94">
        <f>1625*12</f>
        <v>19500</v>
      </c>
      <c r="K473" s="90" t="s">
        <v>40</v>
      </c>
      <c r="L473" s="95">
        <v>0.125</v>
      </c>
      <c r="M473" s="95">
        <v>0.05</v>
      </c>
      <c r="N473" s="92"/>
      <c r="O473" s="93" t="s">
        <v>40</v>
      </c>
      <c r="P473" s="87">
        <f t="shared" ref="P473:P478" si="191">(C473+(E473*F473*H473))-N473</f>
        <v>0</v>
      </c>
      <c r="Q473" s="93" t="s">
        <v>40</v>
      </c>
      <c r="R473" s="94">
        <f t="shared" ref="R473:R478" si="192">P473*(J473-(J473*L473)-((J473-(J473*L473))*M473))</f>
        <v>0</v>
      </c>
      <c r="S473" s="94">
        <f t="shared" si="182"/>
        <v>0</v>
      </c>
    </row>
    <row r="474" spans="1:19" s="19" customFormat="1">
      <c r="A474" s="18" t="s">
        <v>723</v>
      </c>
      <c r="B474" s="19" t="s">
        <v>18</v>
      </c>
      <c r="C474" s="20">
        <v>16</v>
      </c>
      <c r="D474" s="21" t="s">
        <v>40</v>
      </c>
      <c r="E474" s="26"/>
      <c r="F474" s="22">
        <v>24</v>
      </c>
      <c r="G474" s="23" t="s">
        <v>33</v>
      </c>
      <c r="H474" s="22">
        <v>1</v>
      </c>
      <c r="I474" s="23" t="s">
        <v>40</v>
      </c>
      <c r="J474" s="24">
        <f>2500*12</f>
        <v>30000</v>
      </c>
      <c r="K474" s="21" t="s">
        <v>40</v>
      </c>
      <c r="L474" s="25">
        <v>0.125</v>
      </c>
      <c r="M474" s="25">
        <v>0.05</v>
      </c>
      <c r="N474" s="22"/>
      <c r="O474" s="23" t="s">
        <v>40</v>
      </c>
      <c r="P474" s="20">
        <f t="shared" si="191"/>
        <v>16</v>
      </c>
      <c r="Q474" s="23" t="s">
        <v>40</v>
      </c>
      <c r="R474" s="24">
        <f t="shared" si="192"/>
        <v>399000</v>
      </c>
      <c r="S474" s="24">
        <f t="shared" si="182"/>
        <v>359459.45945945941</v>
      </c>
    </row>
    <row r="475" spans="1:19" s="19" customFormat="1">
      <c r="A475" s="48" t="s">
        <v>301</v>
      </c>
      <c r="B475" s="19" t="s">
        <v>18</v>
      </c>
      <c r="C475" s="20"/>
      <c r="D475" s="21" t="s">
        <v>40</v>
      </c>
      <c r="E475" s="26">
        <v>2</v>
      </c>
      <c r="F475" s="22">
        <v>48</v>
      </c>
      <c r="G475" s="23" t="s">
        <v>33</v>
      </c>
      <c r="H475" s="22">
        <v>1</v>
      </c>
      <c r="I475" s="23" t="s">
        <v>40</v>
      </c>
      <c r="J475" s="24">
        <f>1550*12</f>
        <v>18600</v>
      </c>
      <c r="K475" s="21" t="s">
        <v>40</v>
      </c>
      <c r="L475" s="25">
        <v>0.125</v>
      </c>
      <c r="M475" s="25">
        <v>0.05</v>
      </c>
      <c r="N475" s="22"/>
      <c r="O475" s="23" t="s">
        <v>40</v>
      </c>
      <c r="P475" s="20">
        <f t="shared" si="191"/>
        <v>96</v>
      </c>
      <c r="Q475" s="23" t="s">
        <v>40</v>
      </c>
      <c r="R475" s="24">
        <f t="shared" si="192"/>
        <v>1484280</v>
      </c>
      <c r="S475" s="24">
        <f t="shared" si="182"/>
        <v>1337189.1891891891</v>
      </c>
    </row>
    <row r="476" spans="1:19" s="19" customFormat="1">
      <c r="A476" s="48" t="s">
        <v>302</v>
      </c>
      <c r="B476" s="19" t="s">
        <v>18</v>
      </c>
      <c r="C476" s="20">
        <v>24</v>
      </c>
      <c r="D476" s="21" t="s">
        <v>40</v>
      </c>
      <c r="E476" s="26">
        <v>3</v>
      </c>
      <c r="F476" s="22">
        <v>24</v>
      </c>
      <c r="G476" s="23" t="s">
        <v>33</v>
      </c>
      <c r="H476" s="22">
        <v>1</v>
      </c>
      <c r="I476" s="23" t="s">
        <v>40</v>
      </c>
      <c r="J476" s="24">
        <f>2150*12</f>
        <v>25800</v>
      </c>
      <c r="K476" s="21" t="s">
        <v>40</v>
      </c>
      <c r="L476" s="25">
        <v>0.125</v>
      </c>
      <c r="M476" s="25">
        <v>0.05</v>
      </c>
      <c r="N476" s="22"/>
      <c r="O476" s="23" t="s">
        <v>40</v>
      </c>
      <c r="P476" s="20">
        <f t="shared" si="191"/>
        <v>96</v>
      </c>
      <c r="Q476" s="23" t="s">
        <v>40</v>
      </c>
      <c r="R476" s="24">
        <f t="shared" si="192"/>
        <v>2058840</v>
      </c>
      <c r="S476" s="24">
        <f t="shared" si="182"/>
        <v>1854810.8108108107</v>
      </c>
    </row>
    <row r="477" spans="1:19" s="19" customFormat="1">
      <c r="A477" s="48" t="s">
        <v>828</v>
      </c>
      <c r="B477" s="19" t="s">
        <v>18</v>
      </c>
      <c r="C477" s="20"/>
      <c r="D477" s="21" t="s">
        <v>40</v>
      </c>
      <c r="E477" s="26">
        <v>1</v>
      </c>
      <c r="F477" s="22">
        <v>24</v>
      </c>
      <c r="G477" s="23" t="s">
        <v>33</v>
      </c>
      <c r="H477" s="22">
        <v>1</v>
      </c>
      <c r="I477" s="23" t="s">
        <v>40</v>
      </c>
      <c r="J477" s="24">
        <v>31200</v>
      </c>
      <c r="K477" s="21" t="s">
        <v>40</v>
      </c>
      <c r="L477" s="25">
        <v>0.125</v>
      </c>
      <c r="M477" s="25">
        <v>0.05</v>
      </c>
      <c r="N477" s="22"/>
      <c r="O477" s="23" t="s">
        <v>40</v>
      </c>
      <c r="P477" s="20">
        <f t="shared" si="191"/>
        <v>24</v>
      </c>
      <c r="Q477" s="23" t="s">
        <v>40</v>
      </c>
      <c r="R477" s="24">
        <f t="shared" si="192"/>
        <v>622440</v>
      </c>
      <c r="S477" s="24">
        <f t="shared" ref="S477" si="193">R477/1.11</f>
        <v>560756.75675675669</v>
      </c>
    </row>
    <row r="478" spans="1:19" s="89" customFormat="1">
      <c r="A478" s="88" t="s">
        <v>303</v>
      </c>
      <c r="B478" s="89" t="s">
        <v>18</v>
      </c>
      <c r="C478" s="87"/>
      <c r="D478" s="90" t="s">
        <v>40</v>
      </c>
      <c r="E478" s="91"/>
      <c r="F478" s="92">
        <v>24</v>
      </c>
      <c r="G478" s="93" t="s">
        <v>33</v>
      </c>
      <c r="H478" s="92">
        <v>1</v>
      </c>
      <c r="I478" s="93" t="s">
        <v>40</v>
      </c>
      <c r="J478" s="94">
        <f>3000*12</f>
        <v>36000</v>
      </c>
      <c r="K478" s="90" t="s">
        <v>40</v>
      </c>
      <c r="L478" s="95">
        <v>0.125</v>
      </c>
      <c r="M478" s="95">
        <v>0.05</v>
      </c>
      <c r="N478" s="92"/>
      <c r="O478" s="93" t="s">
        <v>40</v>
      </c>
      <c r="P478" s="87">
        <f t="shared" si="191"/>
        <v>0</v>
      </c>
      <c r="Q478" s="93" t="s">
        <v>40</v>
      </c>
      <c r="R478" s="94">
        <f t="shared" si="192"/>
        <v>0</v>
      </c>
      <c r="S478" s="94">
        <f t="shared" si="182"/>
        <v>0</v>
      </c>
    </row>
    <row r="479" spans="1:19" s="19" customFormat="1">
      <c r="A479" s="18"/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19" customFormat="1">
      <c r="A480" s="18" t="s">
        <v>304</v>
      </c>
      <c r="B480" s="19" t="s">
        <v>25</v>
      </c>
      <c r="C480" s="20">
        <v>40</v>
      </c>
      <c r="D480" s="21" t="s">
        <v>40</v>
      </c>
      <c r="E480" s="26">
        <v>30</v>
      </c>
      <c r="F480" s="22">
        <v>1</v>
      </c>
      <c r="G480" s="23" t="s">
        <v>20</v>
      </c>
      <c r="H480" s="22">
        <v>20</v>
      </c>
      <c r="I480" s="23" t="s">
        <v>40</v>
      </c>
      <c r="J480" s="24">
        <f>396000/20</f>
        <v>19800</v>
      </c>
      <c r="K480" s="21" t="s">
        <v>40</v>
      </c>
      <c r="L480" s="25"/>
      <c r="M480" s="25">
        <v>0.17</v>
      </c>
      <c r="N480" s="22"/>
      <c r="O480" s="23" t="s">
        <v>40</v>
      </c>
      <c r="P480" s="20">
        <f>(C480+(E480*F480*H480))-N480</f>
        <v>640</v>
      </c>
      <c r="Q480" s="23" t="s">
        <v>40</v>
      </c>
      <c r="R480" s="24">
        <f>P480*(J480-(J480*L480)-((J480-(J480*L480))*M480))</f>
        <v>10517760</v>
      </c>
      <c r="S480" s="24">
        <f t="shared" si="182"/>
        <v>9475459.4594594594</v>
      </c>
    </row>
    <row r="481" spans="1:19" s="19" customFormat="1">
      <c r="A481" s="18" t="s">
        <v>305</v>
      </c>
      <c r="B481" s="19" t="s">
        <v>25</v>
      </c>
      <c r="C481" s="20">
        <v>29</v>
      </c>
      <c r="D481" s="21" t="s">
        <v>40</v>
      </c>
      <c r="E481" s="26">
        <v>11</v>
      </c>
      <c r="F481" s="22">
        <v>1</v>
      </c>
      <c r="G481" s="23" t="s">
        <v>20</v>
      </c>
      <c r="H481" s="22">
        <v>20</v>
      </c>
      <c r="I481" s="23" t="s">
        <v>40</v>
      </c>
      <c r="J481" s="24">
        <f>504000/20</f>
        <v>25200</v>
      </c>
      <c r="K481" s="21" t="s">
        <v>40</v>
      </c>
      <c r="L481" s="25"/>
      <c r="M481" s="25">
        <v>0.17</v>
      </c>
      <c r="N481" s="22"/>
      <c r="O481" s="23" t="s">
        <v>40</v>
      </c>
      <c r="P481" s="20">
        <f>(C481+(E481*F481*H481))-N481</f>
        <v>249</v>
      </c>
      <c r="Q481" s="23" t="s">
        <v>40</v>
      </c>
      <c r="R481" s="24">
        <f>P481*(J481-(J481*L481)-((J481-(J481*L481))*M481))</f>
        <v>5208084</v>
      </c>
      <c r="S481" s="24">
        <f t="shared" si="182"/>
        <v>4691967.5675675673</v>
      </c>
    </row>
    <row r="482" spans="1:19" s="89" customFormat="1">
      <c r="A482" s="88" t="s">
        <v>306</v>
      </c>
      <c r="B482" s="89" t="s">
        <v>25</v>
      </c>
      <c r="C482" s="87"/>
      <c r="D482" s="90" t="s">
        <v>40</v>
      </c>
      <c r="E482" s="91"/>
      <c r="F482" s="92">
        <v>1</v>
      </c>
      <c r="G482" s="93" t="s">
        <v>20</v>
      </c>
      <c r="H482" s="92">
        <v>20</v>
      </c>
      <c r="I482" s="93" t="s">
        <v>40</v>
      </c>
      <c r="J482" s="94">
        <f>480000/20</f>
        <v>24000</v>
      </c>
      <c r="K482" s="90" t="s">
        <v>40</v>
      </c>
      <c r="L482" s="95"/>
      <c r="M482" s="95">
        <v>0.17</v>
      </c>
      <c r="N482" s="92"/>
      <c r="O482" s="93" t="s">
        <v>40</v>
      </c>
      <c r="P482" s="87">
        <f>(C482+(E482*F482*H482))-N482</f>
        <v>0</v>
      </c>
      <c r="Q482" s="93" t="s">
        <v>40</v>
      </c>
      <c r="R482" s="94">
        <f>P482*(J482-(J482*L482)-((J482-(J482*L482))*M482))</f>
        <v>0</v>
      </c>
      <c r="S482" s="94">
        <f t="shared" si="182"/>
        <v>0</v>
      </c>
    </row>
    <row r="483" spans="1:19" s="19" customFormat="1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>
      <c r="A484" s="18" t="s">
        <v>844</v>
      </c>
      <c r="B484" s="19" t="s">
        <v>838</v>
      </c>
      <c r="C484" s="20">
        <v>430</v>
      </c>
      <c r="D484" s="21" t="s">
        <v>839</v>
      </c>
      <c r="E484" s="26">
        <v>9</v>
      </c>
      <c r="F484" s="22">
        <v>1</v>
      </c>
      <c r="G484" s="23" t="s">
        <v>20</v>
      </c>
      <c r="H484" s="22">
        <v>432</v>
      </c>
      <c r="I484" s="23" t="s">
        <v>839</v>
      </c>
      <c r="J484" s="24">
        <v>1400</v>
      </c>
      <c r="K484" s="21" t="s">
        <v>839</v>
      </c>
      <c r="L484" s="25"/>
      <c r="M484" s="25">
        <v>0.05</v>
      </c>
      <c r="N484" s="22"/>
      <c r="O484" s="23" t="s">
        <v>839</v>
      </c>
      <c r="P484" s="20">
        <f>(C484+(E484*F484*H484))-N484</f>
        <v>4318</v>
      </c>
      <c r="Q484" s="23" t="s">
        <v>839</v>
      </c>
      <c r="R484" s="24">
        <f>P484*(J484-(J484*L484)-((J484-(J484*L484))*M484))</f>
        <v>5742940</v>
      </c>
      <c r="S484" s="24">
        <f t="shared" ref="S484" si="194">R484/1.11</f>
        <v>5173819.8198198192</v>
      </c>
    </row>
    <row r="485" spans="1:19" s="19" customFormat="1">
      <c r="A485" s="18"/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19" customFormat="1">
      <c r="A486" s="71" t="s">
        <v>307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>
        <f t="shared" si="182"/>
        <v>0</v>
      </c>
    </row>
    <row r="487" spans="1:19" s="19" customFormat="1">
      <c r="A487" s="18" t="s">
        <v>308</v>
      </c>
      <c r="B487" s="19" t="s">
        <v>18</v>
      </c>
      <c r="C487" s="20">
        <v>91</v>
      </c>
      <c r="D487" s="21" t="s">
        <v>33</v>
      </c>
      <c r="E487" s="26">
        <v>31</v>
      </c>
      <c r="F487" s="22">
        <v>1</v>
      </c>
      <c r="G487" s="23" t="s">
        <v>20</v>
      </c>
      <c r="H487" s="22">
        <v>64</v>
      </c>
      <c r="I487" s="23" t="s">
        <v>33</v>
      </c>
      <c r="J487" s="24">
        <f>2100*12</f>
        <v>25200</v>
      </c>
      <c r="K487" s="21" t="s">
        <v>33</v>
      </c>
      <c r="L487" s="25">
        <v>0.125</v>
      </c>
      <c r="M487" s="25">
        <v>0.05</v>
      </c>
      <c r="N487" s="22"/>
      <c r="O487" s="23" t="s">
        <v>33</v>
      </c>
      <c r="P487" s="20">
        <f t="shared" ref="P487:P494" si="195">(C487+(E487*F487*H487))-N487</f>
        <v>2075</v>
      </c>
      <c r="Q487" s="23" t="s">
        <v>33</v>
      </c>
      <c r="R487" s="24">
        <f t="shared" ref="R487:R494" si="196">P487*(J487-(J487*L487)-((J487-(J487*L487))*M487))</f>
        <v>43466062.5</v>
      </c>
      <c r="S487" s="24">
        <f t="shared" si="182"/>
        <v>39158614.864864863</v>
      </c>
    </row>
    <row r="488" spans="1:19" s="19" customFormat="1">
      <c r="A488" s="18" t="s">
        <v>310</v>
      </c>
      <c r="B488" s="19" t="s">
        <v>18</v>
      </c>
      <c r="C488" s="20">
        <v>72</v>
      </c>
      <c r="D488" s="21" t="s">
        <v>33</v>
      </c>
      <c r="E488" s="26">
        <v>10</v>
      </c>
      <c r="F488" s="22">
        <v>1</v>
      </c>
      <c r="G488" s="23" t="s">
        <v>20</v>
      </c>
      <c r="H488" s="22">
        <v>36</v>
      </c>
      <c r="I488" s="23" t="s">
        <v>33</v>
      </c>
      <c r="J488" s="24">
        <f>2100*24</f>
        <v>50400</v>
      </c>
      <c r="K488" s="21" t="s">
        <v>33</v>
      </c>
      <c r="L488" s="25">
        <v>0.125</v>
      </c>
      <c r="M488" s="25">
        <v>0.05</v>
      </c>
      <c r="N488" s="22"/>
      <c r="O488" s="23" t="s">
        <v>33</v>
      </c>
      <c r="P488" s="20">
        <f t="shared" si="195"/>
        <v>432</v>
      </c>
      <c r="Q488" s="23" t="s">
        <v>33</v>
      </c>
      <c r="R488" s="24">
        <f t="shared" si="196"/>
        <v>18098640</v>
      </c>
      <c r="S488" s="24">
        <f>R488/1.11</f>
        <v>16305081.081081079</v>
      </c>
    </row>
    <row r="489" spans="1:19" s="89" customFormat="1">
      <c r="A489" s="148" t="s">
        <v>722</v>
      </c>
      <c r="B489" s="89" t="s">
        <v>18</v>
      </c>
      <c r="C489" s="87"/>
      <c r="D489" s="90" t="s">
        <v>33</v>
      </c>
      <c r="E489" s="91"/>
      <c r="F489" s="92">
        <v>1</v>
      </c>
      <c r="G489" s="93" t="s">
        <v>20</v>
      </c>
      <c r="H489" s="92">
        <v>36</v>
      </c>
      <c r="I489" s="93" t="s">
        <v>33</v>
      </c>
      <c r="J489" s="94">
        <f>2300*24</f>
        <v>55200</v>
      </c>
      <c r="K489" s="90" t="s">
        <v>33</v>
      </c>
      <c r="L489" s="95">
        <v>0.125</v>
      </c>
      <c r="M489" s="95">
        <v>0.05</v>
      </c>
      <c r="N489" s="92"/>
      <c r="O489" s="93" t="s">
        <v>33</v>
      </c>
      <c r="P489" s="87">
        <f t="shared" si="195"/>
        <v>0</v>
      </c>
      <c r="Q489" s="93" t="s">
        <v>33</v>
      </c>
      <c r="R489" s="94">
        <f t="shared" si="196"/>
        <v>0</v>
      </c>
      <c r="S489" s="94">
        <f>R489/1.11</f>
        <v>0</v>
      </c>
    </row>
    <row r="490" spans="1:19" s="89" customFormat="1">
      <c r="A490" s="88" t="s">
        <v>721</v>
      </c>
      <c r="B490" s="89" t="s">
        <v>18</v>
      </c>
      <c r="C490" s="87"/>
      <c r="D490" s="90" t="s">
        <v>33</v>
      </c>
      <c r="E490" s="91"/>
      <c r="F490" s="92">
        <v>1</v>
      </c>
      <c r="G490" s="93" t="s">
        <v>20</v>
      </c>
      <c r="H490" s="92">
        <v>32</v>
      </c>
      <c r="I490" s="93" t="s">
        <v>33</v>
      </c>
      <c r="J490" s="94">
        <f>1300*12</f>
        <v>15600</v>
      </c>
      <c r="K490" s="90" t="s">
        <v>33</v>
      </c>
      <c r="L490" s="95">
        <v>0.125</v>
      </c>
      <c r="M490" s="95">
        <v>0.05</v>
      </c>
      <c r="N490" s="92"/>
      <c r="O490" s="93" t="s">
        <v>33</v>
      </c>
      <c r="P490" s="87">
        <f t="shared" si="195"/>
        <v>0</v>
      </c>
      <c r="Q490" s="93" t="s">
        <v>33</v>
      </c>
      <c r="R490" s="94">
        <f t="shared" si="196"/>
        <v>0</v>
      </c>
      <c r="S490" s="94">
        <f>R490/1.11</f>
        <v>0</v>
      </c>
    </row>
    <row r="491" spans="1:19" s="19" customFormat="1">
      <c r="A491" s="18" t="s">
        <v>309</v>
      </c>
      <c r="B491" s="19" t="s">
        <v>18</v>
      </c>
      <c r="C491" s="20">
        <v>38</v>
      </c>
      <c r="D491" s="21" t="s">
        <v>33</v>
      </c>
      <c r="E491" s="26"/>
      <c r="F491" s="22">
        <v>1</v>
      </c>
      <c r="G491" s="23" t="s">
        <v>20</v>
      </c>
      <c r="H491" s="22">
        <v>54</v>
      </c>
      <c r="I491" s="23" t="s">
        <v>33</v>
      </c>
      <c r="J491" s="24">
        <f>3400*12</f>
        <v>40800</v>
      </c>
      <c r="K491" s="21" t="s">
        <v>33</v>
      </c>
      <c r="L491" s="25">
        <v>0.125</v>
      </c>
      <c r="M491" s="25">
        <v>0.05</v>
      </c>
      <c r="N491" s="22"/>
      <c r="O491" s="23" t="s">
        <v>33</v>
      </c>
      <c r="P491" s="20">
        <f t="shared" si="195"/>
        <v>38</v>
      </c>
      <c r="Q491" s="23" t="s">
        <v>33</v>
      </c>
      <c r="R491" s="24">
        <f t="shared" si="196"/>
        <v>1288770</v>
      </c>
      <c r="S491" s="24">
        <f t="shared" si="182"/>
        <v>1161054.054054054</v>
      </c>
    </row>
    <row r="492" spans="1:19" s="106" customFormat="1">
      <c r="A492" s="167" t="s">
        <v>764</v>
      </c>
      <c r="B492" s="106" t="s">
        <v>18</v>
      </c>
      <c r="C492" s="107"/>
      <c r="D492" s="108" t="s">
        <v>33</v>
      </c>
      <c r="E492" s="109">
        <v>1</v>
      </c>
      <c r="F492" s="110">
        <v>1</v>
      </c>
      <c r="G492" s="111" t="s">
        <v>20</v>
      </c>
      <c r="H492" s="110">
        <v>24</v>
      </c>
      <c r="I492" s="111" t="s">
        <v>33</v>
      </c>
      <c r="J492" s="112">
        <f>3300*24</f>
        <v>79200</v>
      </c>
      <c r="K492" s="108" t="s">
        <v>33</v>
      </c>
      <c r="L492" s="113">
        <v>0.125</v>
      </c>
      <c r="M492" s="113">
        <v>0.05</v>
      </c>
      <c r="N492" s="110"/>
      <c r="O492" s="111" t="s">
        <v>33</v>
      </c>
      <c r="P492" s="107">
        <f t="shared" si="195"/>
        <v>24</v>
      </c>
      <c r="Q492" s="111" t="s">
        <v>33</v>
      </c>
      <c r="R492" s="112">
        <f t="shared" si="196"/>
        <v>1580040</v>
      </c>
      <c r="S492" s="112">
        <f>R492/1.11</f>
        <v>1423459.4594594594</v>
      </c>
    </row>
    <row r="493" spans="1:19" s="19" customFormat="1">
      <c r="A493" s="55" t="s">
        <v>311</v>
      </c>
      <c r="B493" s="19" t="s">
        <v>18</v>
      </c>
      <c r="C493" s="20"/>
      <c r="D493" s="21" t="s">
        <v>33</v>
      </c>
      <c r="E493" s="26">
        <v>26</v>
      </c>
      <c r="F493" s="22">
        <v>1</v>
      </c>
      <c r="G493" s="23" t="s">
        <v>20</v>
      </c>
      <c r="H493" s="22">
        <v>36</v>
      </c>
      <c r="I493" s="23" t="s">
        <v>33</v>
      </c>
      <c r="J493" s="24">
        <f>2450*24</f>
        <v>58800</v>
      </c>
      <c r="K493" s="21" t="s">
        <v>33</v>
      </c>
      <c r="L493" s="25">
        <v>0.125</v>
      </c>
      <c r="M493" s="25">
        <v>0.05</v>
      </c>
      <c r="N493" s="22"/>
      <c r="O493" s="23" t="s">
        <v>33</v>
      </c>
      <c r="P493" s="20">
        <f t="shared" si="195"/>
        <v>936</v>
      </c>
      <c r="Q493" s="23" t="s">
        <v>33</v>
      </c>
      <c r="R493" s="24">
        <f t="shared" si="196"/>
        <v>45749340</v>
      </c>
      <c r="S493" s="24">
        <f>R493/1.11</f>
        <v>41215621.621621616</v>
      </c>
    </row>
    <row r="494" spans="1:19" s="89" customFormat="1">
      <c r="A494" s="88" t="s">
        <v>718</v>
      </c>
      <c r="B494" s="89" t="s">
        <v>18</v>
      </c>
      <c r="C494" s="87"/>
      <c r="D494" s="90" t="s">
        <v>33</v>
      </c>
      <c r="E494" s="91"/>
      <c r="F494" s="92">
        <v>1</v>
      </c>
      <c r="G494" s="93" t="s">
        <v>20</v>
      </c>
      <c r="H494" s="92">
        <v>36</v>
      </c>
      <c r="I494" s="93" t="s">
        <v>33</v>
      </c>
      <c r="J494" s="94">
        <f>4600*12</f>
        <v>55200</v>
      </c>
      <c r="K494" s="90" t="s">
        <v>33</v>
      </c>
      <c r="L494" s="95">
        <v>0.125</v>
      </c>
      <c r="M494" s="95">
        <v>0.05</v>
      </c>
      <c r="N494" s="92"/>
      <c r="O494" s="93" t="s">
        <v>33</v>
      </c>
      <c r="P494" s="87">
        <f t="shared" si="195"/>
        <v>0</v>
      </c>
      <c r="Q494" s="93" t="s">
        <v>33</v>
      </c>
      <c r="R494" s="94">
        <f t="shared" si="196"/>
        <v>0</v>
      </c>
      <c r="S494" s="94">
        <f t="shared" ref="S494" si="197">R494/1.11</f>
        <v>0</v>
      </c>
    </row>
    <row r="495" spans="1:19" s="19" customFormat="1">
      <c r="A495" s="18"/>
      <c r="C495" s="20"/>
      <c r="D495" s="21"/>
      <c r="E495" s="26"/>
      <c r="F495" s="22"/>
      <c r="G495" s="23"/>
      <c r="H495" s="22"/>
      <c r="I495" s="23"/>
      <c r="J495" s="24"/>
      <c r="K495" s="21"/>
      <c r="L495" s="25"/>
      <c r="M495" s="25"/>
      <c r="N495" s="22"/>
      <c r="O495" s="23"/>
      <c r="P495" s="20"/>
      <c r="Q495" s="23"/>
      <c r="R495" s="24"/>
      <c r="S495" s="24"/>
    </row>
    <row r="496" spans="1:19" s="19" customFormat="1">
      <c r="A496" s="18" t="s">
        <v>312</v>
      </c>
      <c r="B496" s="19" t="s">
        <v>25</v>
      </c>
      <c r="C496" s="20">
        <v>77</v>
      </c>
      <c r="D496" s="21" t="s">
        <v>33</v>
      </c>
      <c r="E496" s="26">
        <v>23</v>
      </c>
      <c r="F496" s="22">
        <v>1</v>
      </c>
      <c r="G496" s="23" t="s">
        <v>20</v>
      </c>
      <c r="H496" s="22">
        <v>36</v>
      </c>
      <c r="I496" s="23" t="s">
        <v>33</v>
      </c>
      <c r="J496" s="24">
        <f>2376000/36</f>
        <v>66000</v>
      </c>
      <c r="K496" s="21" t="s">
        <v>33</v>
      </c>
      <c r="L496" s="25"/>
      <c r="M496" s="25">
        <v>0.17</v>
      </c>
      <c r="N496" s="22"/>
      <c r="O496" s="23" t="s">
        <v>33</v>
      </c>
      <c r="P496" s="20">
        <f>(C496+(E496*F496*H496))-N496</f>
        <v>905</v>
      </c>
      <c r="Q496" s="23" t="s">
        <v>33</v>
      </c>
      <c r="R496" s="24">
        <f>P496*(J496-(J496*L496)-((J496-(J496*L496))*M496))</f>
        <v>49575900</v>
      </c>
      <c r="S496" s="24">
        <f t="shared" si="182"/>
        <v>44662972.972972967</v>
      </c>
    </row>
    <row r="497" spans="1:19" s="19" customFormat="1">
      <c r="A497" s="18" t="s">
        <v>313</v>
      </c>
      <c r="B497" s="19" t="s">
        <v>25</v>
      </c>
      <c r="C497" s="20">
        <v>300</v>
      </c>
      <c r="D497" s="21" t="s">
        <v>33</v>
      </c>
      <c r="E497" s="26">
        <v>11</v>
      </c>
      <c r="F497" s="22">
        <v>1</v>
      </c>
      <c r="G497" s="23" t="s">
        <v>20</v>
      </c>
      <c r="H497" s="22">
        <v>36</v>
      </c>
      <c r="I497" s="23" t="s">
        <v>33</v>
      </c>
      <c r="J497" s="24">
        <f>2592000/36</f>
        <v>72000</v>
      </c>
      <c r="K497" s="21" t="s">
        <v>33</v>
      </c>
      <c r="L497" s="25"/>
      <c r="M497" s="25">
        <v>0.17</v>
      </c>
      <c r="N497" s="22"/>
      <c r="O497" s="23" t="s">
        <v>33</v>
      </c>
      <c r="P497" s="20">
        <f>(C497+(E497*F497*H497))-N497</f>
        <v>696</v>
      </c>
      <c r="Q497" s="23" t="s">
        <v>33</v>
      </c>
      <c r="R497" s="24">
        <f>P497*(J497-(J497*L497)-((J497-(J497*L497))*M497))</f>
        <v>41592960</v>
      </c>
      <c r="S497" s="24">
        <f t="shared" si="182"/>
        <v>37471135.135135129</v>
      </c>
    </row>
    <row r="498" spans="1:19" s="19" customFormat="1">
      <c r="A498" s="18" t="s">
        <v>314</v>
      </c>
      <c r="B498" s="19" t="s">
        <v>25</v>
      </c>
      <c r="C498" s="20">
        <v>202</v>
      </c>
      <c r="D498" s="21" t="s">
        <v>33</v>
      </c>
      <c r="E498" s="26"/>
      <c r="F498" s="22">
        <v>1</v>
      </c>
      <c r="G498" s="23" t="s">
        <v>20</v>
      </c>
      <c r="H498" s="22">
        <v>36</v>
      </c>
      <c r="I498" s="23" t="s">
        <v>33</v>
      </c>
      <c r="J498" s="24">
        <f>2160000/36</f>
        <v>60000</v>
      </c>
      <c r="K498" s="21" t="s">
        <v>33</v>
      </c>
      <c r="L498" s="25"/>
      <c r="M498" s="25">
        <v>0.17</v>
      </c>
      <c r="N498" s="22"/>
      <c r="O498" s="23" t="s">
        <v>33</v>
      </c>
      <c r="P498" s="20">
        <f>(C498+(E498*F498*H498))-N498</f>
        <v>202</v>
      </c>
      <c r="Q498" s="23" t="s">
        <v>33</v>
      </c>
      <c r="R498" s="24">
        <f>P498*(J498-(J498*L498)-((J498-(J498*L498))*M498))</f>
        <v>10059600</v>
      </c>
      <c r="S498" s="24">
        <f t="shared" si="182"/>
        <v>9062702.7027027011</v>
      </c>
    </row>
    <row r="499" spans="1:19" s="19" customFormat="1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71" t="s">
        <v>770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19" s="89" customFormat="1">
      <c r="A501" s="88" t="s">
        <v>315</v>
      </c>
      <c r="B501" s="89" t="s">
        <v>25</v>
      </c>
      <c r="C501" s="87"/>
      <c r="D501" s="90" t="s">
        <v>103</v>
      </c>
      <c r="E501" s="91"/>
      <c r="F501" s="92">
        <v>1</v>
      </c>
      <c r="G501" s="93" t="s">
        <v>20</v>
      </c>
      <c r="H501" s="92">
        <v>60</v>
      </c>
      <c r="I501" s="93" t="s">
        <v>103</v>
      </c>
      <c r="J501" s="94">
        <v>18600</v>
      </c>
      <c r="K501" s="90" t="s">
        <v>103</v>
      </c>
      <c r="L501" s="95"/>
      <c r="M501" s="95">
        <v>0.17</v>
      </c>
      <c r="N501" s="92"/>
      <c r="O501" s="93" t="s">
        <v>103</v>
      </c>
      <c r="P501" s="87">
        <f>(C501+(E501*F501*H501))-N501</f>
        <v>0</v>
      </c>
      <c r="Q501" s="93" t="s">
        <v>103</v>
      </c>
      <c r="R501" s="94">
        <f>P501*(J501-(J501*L501)-((J501-(J501*L501))*M501))</f>
        <v>0</v>
      </c>
      <c r="S501" s="94">
        <f t="shared" si="182"/>
        <v>0</v>
      </c>
    </row>
    <row r="502" spans="1:19" s="19" customFormat="1">
      <c r="A502" s="18"/>
      <c r="C502" s="20"/>
      <c r="D502" s="21"/>
      <c r="E502" s="26"/>
      <c r="F502" s="22"/>
      <c r="G502" s="23"/>
      <c r="H502" s="22"/>
      <c r="I502" s="23"/>
      <c r="J502" s="24"/>
      <c r="K502" s="21"/>
      <c r="L502" s="25"/>
      <c r="M502" s="25"/>
      <c r="N502" s="22"/>
      <c r="O502" s="23"/>
      <c r="P502" s="20"/>
      <c r="Q502" s="23"/>
      <c r="R502" s="24"/>
      <c r="S502" s="24"/>
    </row>
    <row r="503" spans="1:19" s="19" customFormat="1">
      <c r="A503" s="18" t="s">
        <v>771</v>
      </c>
      <c r="B503" s="18" t="s">
        <v>172</v>
      </c>
      <c r="C503" s="50">
        <v>800</v>
      </c>
      <c r="D503" s="51" t="s">
        <v>40</v>
      </c>
      <c r="E503" s="52"/>
      <c r="F503" s="53">
        <v>1</v>
      </c>
      <c r="G503" s="48" t="s">
        <v>20</v>
      </c>
      <c r="H503" s="53">
        <v>160</v>
      </c>
      <c r="I503" s="48" t="s">
        <v>40</v>
      </c>
      <c r="J503" s="29">
        <v>7750</v>
      </c>
      <c r="K503" s="51" t="s">
        <v>40</v>
      </c>
      <c r="L503" s="54">
        <v>0.05</v>
      </c>
      <c r="M503" s="54"/>
      <c r="N503" s="53"/>
      <c r="O503" s="48" t="s">
        <v>40</v>
      </c>
      <c r="P503" s="50">
        <f>(C503+(E503*F503*H503))-N503</f>
        <v>800</v>
      </c>
      <c r="Q503" s="48" t="s">
        <v>40</v>
      </c>
      <c r="R503" s="29">
        <f>P503*(J503-(J503*L503)-((J503-(J503*L503))*M503))</f>
        <v>5890000</v>
      </c>
      <c r="S503" s="29">
        <f t="shared" si="182"/>
        <v>5306306.3063063063</v>
      </c>
    </row>
    <row r="504" spans="1:19" s="19" customFormat="1">
      <c r="A504" s="18"/>
      <c r="C504" s="20"/>
      <c r="D504" s="21"/>
      <c r="E504" s="26"/>
      <c r="F504" s="22"/>
      <c r="G504" s="23"/>
      <c r="H504" s="22"/>
      <c r="I504" s="23"/>
      <c r="J504" s="24"/>
      <c r="K504" s="21"/>
      <c r="L504" s="25"/>
      <c r="M504" s="25"/>
      <c r="N504" s="22"/>
      <c r="O504" s="23"/>
      <c r="P504" s="20"/>
      <c r="Q504" s="23"/>
      <c r="R504" s="24"/>
      <c r="S504" s="24"/>
    </row>
    <row r="505" spans="1:19" s="19" customFormat="1">
      <c r="A505" s="71" t="s">
        <v>316</v>
      </c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>
      <c r="A506" s="18" t="s">
        <v>317</v>
      </c>
      <c r="B506" s="19" t="s">
        <v>318</v>
      </c>
      <c r="C506" s="20">
        <v>145</v>
      </c>
      <c r="D506" s="21" t="s">
        <v>319</v>
      </c>
      <c r="E506" s="26"/>
      <c r="F506" s="22">
        <v>1</v>
      </c>
      <c r="G506" s="23" t="s">
        <v>20</v>
      </c>
      <c r="H506" s="22">
        <v>25</v>
      </c>
      <c r="I506" s="23" t="s">
        <v>319</v>
      </c>
      <c r="J506" s="24">
        <v>55000</v>
      </c>
      <c r="K506" s="21" t="s">
        <v>319</v>
      </c>
      <c r="L506" s="25"/>
      <c r="M506" s="25"/>
      <c r="N506" s="22"/>
      <c r="O506" s="23" t="s">
        <v>319</v>
      </c>
      <c r="P506" s="20">
        <f>(C506+(E506*F506*H506))-N506</f>
        <v>145</v>
      </c>
      <c r="Q506" s="23" t="s">
        <v>319</v>
      </c>
      <c r="R506" s="24">
        <f>P506*(J506-(J506*L506)-((J506-(J506*L506))*M506))</f>
        <v>7975000</v>
      </c>
      <c r="S506" s="24">
        <f t="shared" si="182"/>
        <v>7184684.6846846845</v>
      </c>
    </row>
    <row r="507" spans="1:19" s="19" customFormat="1">
      <c r="A507" s="18"/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 ht="15.75">
      <c r="A508" s="44" t="s">
        <v>320</v>
      </c>
      <c r="C508" s="20"/>
      <c r="D508" s="21"/>
      <c r="E508" s="26"/>
      <c r="F508" s="22"/>
      <c r="G508" s="23"/>
      <c r="H508" s="22"/>
      <c r="I508" s="23"/>
      <c r="J508" s="24"/>
      <c r="K508" s="21"/>
      <c r="L508" s="25"/>
      <c r="M508" s="25"/>
      <c r="N508" s="22"/>
      <c r="O508" s="23"/>
      <c r="P508" s="20"/>
      <c r="Q508" s="23"/>
      <c r="R508" s="24"/>
      <c r="S508" s="24"/>
    </row>
    <row r="509" spans="1:19" s="89" customFormat="1">
      <c r="A509" s="88" t="s">
        <v>321</v>
      </c>
      <c r="B509" s="89" t="s">
        <v>18</v>
      </c>
      <c r="C509" s="87"/>
      <c r="D509" s="90" t="s">
        <v>99</v>
      </c>
      <c r="E509" s="91"/>
      <c r="F509" s="92">
        <v>1</v>
      </c>
      <c r="G509" s="93" t="s">
        <v>20</v>
      </c>
      <c r="H509" s="92">
        <v>192</v>
      </c>
      <c r="I509" s="93" t="s">
        <v>99</v>
      </c>
      <c r="J509" s="94">
        <v>3450</v>
      </c>
      <c r="K509" s="90" t="s">
        <v>99</v>
      </c>
      <c r="L509" s="95">
        <v>0.125</v>
      </c>
      <c r="M509" s="95">
        <v>0.05</v>
      </c>
      <c r="N509" s="92"/>
      <c r="O509" s="93" t="s">
        <v>99</v>
      </c>
      <c r="P509" s="87">
        <f t="shared" ref="P509:P514" si="198">(C509+(E509*F509*H509))-N509</f>
        <v>0</v>
      </c>
      <c r="Q509" s="93" t="s">
        <v>99</v>
      </c>
      <c r="R509" s="94">
        <f t="shared" ref="R509:R514" si="199">P509*(J509-(J509*L509)-((J509-(J509*L509))*M509))</f>
        <v>0</v>
      </c>
      <c r="S509" s="94">
        <f t="shared" ref="S509:S594" si="200">R509/1.11</f>
        <v>0</v>
      </c>
    </row>
    <row r="510" spans="1:19" s="89" customFormat="1">
      <c r="A510" s="88" t="s">
        <v>322</v>
      </c>
      <c r="B510" s="89" t="s">
        <v>18</v>
      </c>
      <c r="C510" s="87"/>
      <c r="D510" s="90" t="s">
        <v>99</v>
      </c>
      <c r="E510" s="91"/>
      <c r="F510" s="92">
        <v>1</v>
      </c>
      <c r="G510" s="93" t="s">
        <v>20</v>
      </c>
      <c r="H510" s="92">
        <v>160</v>
      </c>
      <c r="I510" s="93" t="s">
        <v>99</v>
      </c>
      <c r="J510" s="94">
        <v>5400</v>
      </c>
      <c r="K510" s="90" t="s">
        <v>99</v>
      </c>
      <c r="L510" s="95">
        <v>0.125</v>
      </c>
      <c r="M510" s="95">
        <v>0.05</v>
      </c>
      <c r="N510" s="92"/>
      <c r="O510" s="93" t="s">
        <v>99</v>
      </c>
      <c r="P510" s="87">
        <f t="shared" si="198"/>
        <v>0</v>
      </c>
      <c r="Q510" s="93" t="s">
        <v>99</v>
      </c>
      <c r="R510" s="94">
        <f t="shared" si="199"/>
        <v>0</v>
      </c>
      <c r="S510" s="94">
        <f t="shared" si="200"/>
        <v>0</v>
      </c>
    </row>
    <row r="511" spans="1:19" s="19" customFormat="1">
      <c r="A511" s="18" t="s">
        <v>323</v>
      </c>
      <c r="B511" s="19" t="s">
        <v>18</v>
      </c>
      <c r="C511" s="20"/>
      <c r="D511" s="21" t="s">
        <v>99</v>
      </c>
      <c r="E511" s="26">
        <v>5</v>
      </c>
      <c r="F511" s="22">
        <v>1</v>
      </c>
      <c r="G511" s="23" t="s">
        <v>20</v>
      </c>
      <c r="H511" s="22">
        <v>192</v>
      </c>
      <c r="I511" s="23" t="s">
        <v>99</v>
      </c>
      <c r="J511" s="24">
        <v>3600</v>
      </c>
      <c r="K511" s="21" t="s">
        <v>99</v>
      </c>
      <c r="L511" s="25">
        <v>0.125</v>
      </c>
      <c r="M511" s="25">
        <v>0.05</v>
      </c>
      <c r="N511" s="22"/>
      <c r="O511" s="23" t="s">
        <v>99</v>
      </c>
      <c r="P511" s="20">
        <f t="shared" si="198"/>
        <v>960</v>
      </c>
      <c r="Q511" s="23" t="s">
        <v>99</v>
      </c>
      <c r="R511" s="24">
        <f t="shared" si="199"/>
        <v>2872800</v>
      </c>
      <c r="S511" s="24">
        <f t="shared" si="200"/>
        <v>2588108.1081081079</v>
      </c>
    </row>
    <row r="512" spans="1:19" s="19" customFormat="1">
      <c r="A512" s="18" t="s">
        <v>324</v>
      </c>
      <c r="B512" s="19" t="s">
        <v>18</v>
      </c>
      <c r="C512" s="20">
        <v>43</v>
      </c>
      <c r="D512" s="21" t="s">
        <v>99</v>
      </c>
      <c r="E512" s="26">
        <v>6</v>
      </c>
      <c r="F512" s="22">
        <v>1</v>
      </c>
      <c r="G512" s="23" t="s">
        <v>20</v>
      </c>
      <c r="H512" s="22">
        <v>96</v>
      </c>
      <c r="I512" s="23" t="s">
        <v>99</v>
      </c>
      <c r="J512" s="24">
        <v>7000</v>
      </c>
      <c r="K512" s="21" t="s">
        <v>99</v>
      </c>
      <c r="L512" s="25">
        <v>0.125</v>
      </c>
      <c r="M512" s="25">
        <v>0.05</v>
      </c>
      <c r="N512" s="22"/>
      <c r="O512" s="23" t="s">
        <v>99</v>
      </c>
      <c r="P512" s="20">
        <f t="shared" si="198"/>
        <v>619</v>
      </c>
      <c r="Q512" s="23" t="s">
        <v>99</v>
      </c>
      <c r="R512" s="24">
        <f t="shared" si="199"/>
        <v>3601806.25</v>
      </c>
      <c r="S512" s="24">
        <f t="shared" si="200"/>
        <v>3244870.4954954954</v>
      </c>
    </row>
    <row r="513" spans="1:20" s="89" customFormat="1">
      <c r="A513" s="88" t="s">
        <v>755</v>
      </c>
      <c r="B513" s="89" t="s">
        <v>18</v>
      </c>
      <c r="C513" s="87"/>
      <c r="D513" s="90" t="s">
        <v>99</v>
      </c>
      <c r="E513" s="91"/>
      <c r="F513" s="92">
        <v>1</v>
      </c>
      <c r="G513" s="93" t="s">
        <v>20</v>
      </c>
      <c r="H513" s="92">
        <v>160</v>
      </c>
      <c r="I513" s="93" t="s">
        <v>99</v>
      </c>
      <c r="J513" s="94">
        <v>5700</v>
      </c>
      <c r="K513" s="90" t="s">
        <v>99</v>
      </c>
      <c r="L513" s="95">
        <v>0.125</v>
      </c>
      <c r="M513" s="95">
        <v>0.05</v>
      </c>
      <c r="N513" s="92"/>
      <c r="O513" s="93" t="s">
        <v>99</v>
      </c>
      <c r="P513" s="87">
        <f t="shared" si="198"/>
        <v>0</v>
      </c>
      <c r="Q513" s="93" t="s">
        <v>99</v>
      </c>
      <c r="R513" s="94">
        <f t="shared" si="199"/>
        <v>0</v>
      </c>
      <c r="S513" s="94">
        <f t="shared" si="200"/>
        <v>0</v>
      </c>
    </row>
    <row r="514" spans="1:20" s="106" customFormat="1">
      <c r="A514" s="98" t="s">
        <v>325</v>
      </c>
      <c r="B514" s="106" t="s">
        <v>18</v>
      </c>
      <c r="C514" s="107"/>
      <c r="D514" s="108" t="s">
        <v>99</v>
      </c>
      <c r="E514" s="109">
        <v>1</v>
      </c>
      <c r="F514" s="110">
        <v>1</v>
      </c>
      <c r="G514" s="111" t="s">
        <v>20</v>
      </c>
      <c r="H514" s="110">
        <v>80</v>
      </c>
      <c r="I514" s="111" t="s">
        <v>99</v>
      </c>
      <c r="J514" s="112">
        <v>10800</v>
      </c>
      <c r="K514" s="108" t="s">
        <v>99</v>
      </c>
      <c r="L514" s="113">
        <v>0.125</v>
      </c>
      <c r="M514" s="113">
        <v>0.05</v>
      </c>
      <c r="N514" s="110"/>
      <c r="O514" s="111" t="s">
        <v>99</v>
      </c>
      <c r="P514" s="107">
        <f t="shared" si="198"/>
        <v>80</v>
      </c>
      <c r="Q514" s="111" t="s">
        <v>99</v>
      </c>
      <c r="R514" s="112">
        <f t="shared" si="199"/>
        <v>718200</v>
      </c>
      <c r="S514" s="112">
        <f t="shared" si="200"/>
        <v>647027.02702702698</v>
      </c>
    </row>
    <row r="515" spans="1:20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20" s="19" customFormat="1">
      <c r="A516" s="18" t="s">
        <v>326</v>
      </c>
      <c r="B516" s="19" t="s">
        <v>25</v>
      </c>
      <c r="C516" s="20">
        <v>910</v>
      </c>
      <c r="D516" s="21" t="s">
        <v>99</v>
      </c>
      <c r="E516" s="26">
        <v>6</v>
      </c>
      <c r="F516" s="22">
        <v>1</v>
      </c>
      <c r="G516" s="23" t="s">
        <v>20</v>
      </c>
      <c r="H516" s="22">
        <v>192</v>
      </c>
      <c r="I516" s="23" t="s">
        <v>99</v>
      </c>
      <c r="J516" s="24">
        <f>844800/192</f>
        <v>4400</v>
      </c>
      <c r="K516" s="21" t="s">
        <v>99</v>
      </c>
      <c r="L516" s="25"/>
      <c r="M516" s="25">
        <v>0.17</v>
      </c>
      <c r="N516" s="22"/>
      <c r="O516" s="23" t="s">
        <v>99</v>
      </c>
      <c r="P516" s="20">
        <f>(C516+(E516*F516*H516))-N516</f>
        <v>2062</v>
      </c>
      <c r="Q516" s="23" t="s">
        <v>99</v>
      </c>
      <c r="R516" s="24">
        <f>P516*(J516-(J516*L516)-((J516-(J516*L516))*M516))</f>
        <v>7530424</v>
      </c>
      <c r="S516" s="24">
        <f t="shared" si="200"/>
        <v>6784165.7657657648</v>
      </c>
    </row>
    <row r="517" spans="1:20" s="19" customFormat="1">
      <c r="A517" s="18" t="s">
        <v>327</v>
      </c>
      <c r="B517" s="19" t="s">
        <v>25</v>
      </c>
      <c r="C517" s="20"/>
      <c r="D517" s="21" t="s">
        <v>99</v>
      </c>
      <c r="E517" s="26">
        <v>5</v>
      </c>
      <c r="F517" s="22">
        <v>1</v>
      </c>
      <c r="G517" s="23" t="s">
        <v>20</v>
      </c>
      <c r="H517" s="22">
        <v>96</v>
      </c>
      <c r="I517" s="23" t="s">
        <v>99</v>
      </c>
      <c r="J517" s="24">
        <f>801600/96</f>
        <v>8350</v>
      </c>
      <c r="K517" s="21" t="s">
        <v>99</v>
      </c>
      <c r="L517" s="25"/>
      <c r="M517" s="25">
        <v>0.17</v>
      </c>
      <c r="N517" s="22"/>
      <c r="O517" s="23" t="s">
        <v>99</v>
      </c>
      <c r="P517" s="20">
        <f>(C517+(E517*F517*H517))-N517</f>
        <v>480</v>
      </c>
      <c r="Q517" s="23" t="s">
        <v>99</v>
      </c>
      <c r="R517" s="24">
        <f>P517*(J517-(J517*L517)-((J517-(J517*L517))*M517))</f>
        <v>3326640</v>
      </c>
      <c r="S517" s="24">
        <f t="shared" si="200"/>
        <v>2996972.9729729728</v>
      </c>
    </row>
    <row r="518" spans="1:20" s="19" customFormat="1">
      <c r="A518" s="18" t="s">
        <v>328</v>
      </c>
      <c r="B518" s="19" t="s">
        <v>25</v>
      </c>
      <c r="C518" s="20">
        <v>160</v>
      </c>
      <c r="D518" s="21" t="s">
        <v>99</v>
      </c>
      <c r="E518" s="26">
        <v>2</v>
      </c>
      <c r="F518" s="22">
        <v>1</v>
      </c>
      <c r="G518" s="23" t="s">
        <v>20</v>
      </c>
      <c r="H518" s="22">
        <v>160</v>
      </c>
      <c r="I518" s="23" t="s">
        <v>99</v>
      </c>
      <c r="J518" s="24">
        <f>1104000/160</f>
        <v>6900</v>
      </c>
      <c r="K518" s="21" t="s">
        <v>99</v>
      </c>
      <c r="L518" s="25"/>
      <c r="M518" s="25">
        <v>0.17</v>
      </c>
      <c r="N518" s="22"/>
      <c r="O518" s="23" t="s">
        <v>99</v>
      </c>
      <c r="P518" s="20">
        <f>(C518+(E518*F518*H518))-N518</f>
        <v>480</v>
      </c>
      <c r="Q518" s="23" t="s">
        <v>99</v>
      </c>
      <c r="R518" s="24">
        <f>P518*(J518-(J518*L518)-((J518-(J518*L518))*M518))</f>
        <v>2748960</v>
      </c>
      <c r="S518" s="24">
        <f t="shared" si="200"/>
        <v>2476540.5405405401</v>
      </c>
    </row>
    <row r="519" spans="1:20" s="19" customFormat="1">
      <c r="A519" s="18" t="s">
        <v>329</v>
      </c>
      <c r="B519" s="19" t="s">
        <v>25</v>
      </c>
      <c r="C519" s="20"/>
      <c r="D519" s="21" t="s">
        <v>99</v>
      </c>
      <c r="E519" s="26">
        <v>7</v>
      </c>
      <c r="F519" s="22">
        <v>1</v>
      </c>
      <c r="G519" s="23" t="s">
        <v>20</v>
      </c>
      <c r="H519" s="22">
        <v>80</v>
      </c>
      <c r="I519" s="23" t="s">
        <v>99</v>
      </c>
      <c r="J519" s="24">
        <f>1040000/80</f>
        <v>13000</v>
      </c>
      <c r="K519" s="21" t="s">
        <v>99</v>
      </c>
      <c r="L519" s="25"/>
      <c r="M519" s="25">
        <v>0.17</v>
      </c>
      <c r="N519" s="22"/>
      <c r="O519" s="23" t="s">
        <v>99</v>
      </c>
      <c r="P519" s="20">
        <f>(C519+(E519*F519*H519))-N519</f>
        <v>560</v>
      </c>
      <c r="Q519" s="23" t="s">
        <v>99</v>
      </c>
      <c r="R519" s="24">
        <f>P519*(J519-(J519*L519)-((J519-(J519*L519))*M519))</f>
        <v>6042400</v>
      </c>
      <c r="S519" s="24">
        <f t="shared" si="200"/>
        <v>5443603.6036036033</v>
      </c>
    </row>
    <row r="520" spans="1:20" s="19" customFormat="1">
      <c r="A520" s="18"/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20" s="19" customFormat="1" ht="15.75">
      <c r="A521" s="44" t="s">
        <v>776</v>
      </c>
      <c r="C521" s="20"/>
      <c r="D521" s="21"/>
      <c r="E521" s="26"/>
      <c r="F521" s="22"/>
      <c r="G521" s="23"/>
      <c r="H521" s="22"/>
      <c r="I521" s="23"/>
      <c r="J521" s="24"/>
      <c r="K521" s="21"/>
      <c r="L521" s="73"/>
      <c r="M521" s="73"/>
      <c r="N521" s="22"/>
      <c r="O521" s="23"/>
      <c r="P521" s="20"/>
      <c r="Q521" s="23"/>
      <c r="R521" s="24"/>
      <c r="S521" s="24"/>
    </row>
    <row r="522" spans="1:20" s="19" customFormat="1">
      <c r="A522" s="18" t="s">
        <v>777</v>
      </c>
      <c r="B522" s="18" t="s">
        <v>172</v>
      </c>
      <c r="C522" s="50">
        <v>160</v>
      </c>
      <c r="D522" s="51" t="s">
        <v>19</v>
      </c>
      <c r="E522" s="52"/>
      <c r="F522" s="53">
        <v>1</v>
      </c>
      <c r="G522" s="48" t="s">
        <v>20</v>
      </c>
      <c r="H522" s="53">
        <v>10</v>
      </c>
      <c r="I522" s="48" t="s">
        <v>19</v>
      </c>
      <c r="J522" s="29">
        <v>55000</v>
      </c>
      <c r="K522" s="51" t="s">
        <v>19</v>
      </c>
      <c r="L522" s="54">
        <v>0.05</v>
      </c>
      <c r="M522" s="54"/>
      <c r="N522" s="53"/>
      <c r="O522" s="48" t="s">
        <v>19</v>
      </c>
      <c r="P522" s="50">
        <f>(C522+(E522*F522*H522))-N522</f>
        <v>160</v>
      </c>
      <c r="Q522" s="48" t="s">
        <v>19</v>
      </c>
      <c r="R522" s="29">
        <f>P522*(J522-(J522*L522)-((J522-(J522*L522))*M522))</f>
        <v>8360000</v>
      </c>
      <c r="S522" s="29">
        <f t="shared" ref="S522" si="201">R522/1.11</f>
        <v>7531531.5315315304</v>
      </c>
    </row>
    <row r="523" spans="1:20" s="19" customFormat="1">
      <c r="A523" s="18"/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20" s="19" customFormat="1" ht="15.75">
      <c r="A524" s="44" t="s">
        <v>330</v>
      </c>
      <c r="C524" s="20"/>
      <c r="D524" s="21"/>
      <c r="E524" s="26"/>
      <c r="F524" s="22"/>
      <c r="G524" s="23"/>
      <c r="H524" s="22"/>
      <c r="I524" s="23"/>
      <c r="J524" s="24"/>
      <c r="K524" s="21"/>
      <c r="L524" s="73"/>
      <c r="M524" s="73"/>
      <c r="N524" s="22"/>
      <c r="O524" s="23"/>
      <c r="P524" s="20"/>
      <c r="Q524" s="23"/>
      <c r="R524" s="24"/>
      <c r="S524" s="24"/>
    </row>
    <row r="525" spans="1:20" s="19" customFormat="1">
      <c r="A525" s="71" t="s">
        <v>331</v>
      </c>
      <c r="C525" s="20"/>
      <c r="D525" s="21"/>
      <c r="E525" s="26"/>
      <c r="F525" s="22"/>
      <c r="G525" s="23"/>
      <c r="H525" s="22"/>
      <c r="I525" s="23"/>
      <c r="J525" s="24"/>
      <c r="K525" s="21"/>
      <c r="L525" s="73"/>
      <c r="M525" s="73"/>
      <c r="N525" s="22"/>
      <c r="O525" s="23"/>
      <c r="P525" s="20"/>
      <c r="Q525" s="23"/>
      <c r="R525" s="24"/>
      <c r="S525" s="24"/>
    </row>
    <row r="526" spans="1:20" s="89" customFormat="1">
      <c r="A526" s="88" t="s">
        <v>332</v>
      </c>
      <c r="B526" s="89" t="s">
        <v>18</v>
      </c>
      <c r="C526" s="87"/>
      <c r="D526" s="90" t="s">
        <v>19</v>
      </c>
      <c r="E526" s="91"/>
      <c r="F526" s="92">
        <v>1</v>
      </c>
      <c r="G526" s="93" t="s">
        <v>20</v>
      </c>
      <c r="H526" s="92">
        <v>24</v>
      </c>
      <c r="I526" s="93" t="s">
        <v>19</v>
      </c>
      <c r="J526" s="94">
        <v>35000</v>
      </c>
      <c r="K526" s="90" t="s">
        <v>19</v>
      </c>
      <c r="L526" s="95">
        <v>0.125</v>
      </c>
      <c r="M526" s="95">
        <v>0.05</v>
      </c>
      <c r="N526" s="92"/>
      <c r="O526" s="93" t="s">
        <v>19</v>
      </c>
      <c r="P526" s="87">
        <f>(C526+(E526*F526*H526))-N526</f>
        <v>0</v>
      </c>
      <c r="Q526" s="93" t="s">
        <v>19</v>
      </c>
      <c r="R526" s="94">
        <f>P526*(J526-(J526*L526)-((J526-(J526*L526))*M526))</f>
        <v>0</v>
      </c>
      <c r="S526" s="94">
        <f t="shared" si="200"/>
        <v>0</v>
      </c>
    </row>
    <row r="527" spans="1:20" s="19" customFormat="1">
      <c r="A527" s="18" t="s">
        <v>333</v>
      </c>
      <c r="B527" s="19" t="s">
        <v>18</v>
      </c>
      <c r="C527" s="20">
        <v>162</v>
      </c>
      <c r="D527" s="21" t="s">
        <v>19</v>
      </c>
      <c r="E527" s="26">
        <v>25</v>
      </c>
      <c r="F527" s="22">
        <v>1</v>
      </c>
      <c r="G527" s="23" t="s">
        <v>20</v>
      </c>
      <c r="H527" s="22">
        <v>72</v>
      </c>
      <c r="I527" s="23" t="s">
        <v>19</v>
      </c>
      <c r="J527" s="24">
        <v>15800</v>
      </c>
      <c r="K527" s="21" t="s">
        <v>19</v>
      </c>
      <c r="L527" s="25">
        <v>0.125</v>
      </c>
      <c r="M527" s="25">
        <v>0.05</v>
      </c>
      <c r="N527" s="22"/>
      <c r="O527" s="23" t="s">
        <v>19</v>
      </c>
      <c r="P527" s="20">
        <f>(C527+(E527*F527*H527))-N527</f>
        <v>1962</v>
      </c>
      <c r="Q527" s="23" t="s">
        <v>19</v>
      </c>
      <c r="R527" s="24">
        <f>P527*(J527-(J527*L527)-((J527-(J527*L527))*M527))</f>
        <v>25768417.5</v>
      </c>
      <c r="S527" s="24">
        <f t="shared" si="200"/>
        <v>23214790.540540539</v>
      </c>
      <c r="T527" s="24"/>
    </row>
    <row r="528" spans="1:20" s="19" customFormat="1">
      <c r="A528" s="18" t="s">
        <v>334</v>
      </c>
      <c r="B528" s="19" t="s">
        <v>18</v>
      </c>
      <c r="C528" s="20">
        <v>216</v>
      </c>
      <c r="D528" s="21" t="s">
        <v>19</v>
      </c>
      <c r="E528" s="26"/>
      <c r="F528" s="22">
        <v>1</v>
      </c>
      <c r="G528" s="23" t="s">
        <v>20</v>
      </c>
      <c r="H528" s="22">
        <v>72</v>
      </c>
      <c r="I528" s="23" t="s">
        <v>19</v>
      </c>
      <c r="J528" s="24">
        <v>15800</v>
      </c>
      <c r="K528" s="21" t="s">
        <v>19</v>
      </c>
      <c r="L528" s="25">
        <v>0.125</v>
      </c>
      <c r="M528" s="25">
        <v>0.05</v>
      </c>
      <c r="N528" s="22"/>
      <c r="O528" s="23" t="s">
        <v>19</v>
      </c>
      <c r="P528" s="20">
        <f>(C528+(E528*F528*H528))-N528</f>
        <v>216</v>
      </c>
      <c r="Q528" s="23" t="s">
        <v>19</v>
      </c>
      <c r="R528" s="24">
        <f>P528*(J528-(J528*L528)-((J528-(J528*L528))*M528))</f>
        <v>2836890</v>
      </c>
      <c r="S528" s="24">
        <f t="shared" si="200"/>
        <v>2555756.7567567565</v>
      </c>
      <c r="T528" s="24"/>
    </row>
    <row r="529" spans="1:19" s="89" customFormat="1">
      <c r="A529" s="88" t="s">
        <v>335</v>
      </c>
      <c r="B529" s="89" t="s">
        <v>18</v>
      </c>
      <c r="C529" s="87"/>
      <c r="D529" s="90" t="s">
        <v>19</v>
      </c>
      <c r="E529" s="91">
        <v>2</v>
      </c>
      <c r="F529" s="92">
        <v>1</v>
      </c>
      <c r="G529" s="93" t="s">
        <v>20</v>
      </c>
      <c r="H529" s="92">
        <v>72</v>
      </c>
      <c r="I529" s="93" t="s">
        <v>19</v>
      </c>
      <c r="J529" s="94">
        <v>20700</v>
      </c>
      <c r="K529" s="90" t="s">
        <v>19</v>
      </c>
      <c r="L529" s="95">
        <v>0.125</v>
      </c>
      <c r="M529" s="95">
        <v>0.05</v>
      </c>
      <c r="N529" s="92"/>
      <c r="O529" s="93" t="s">
        <v>19</v>
      </c>
      <c r="P529" s="87">
        <f>(C529+(E529*F529*H529))-N529</f>
        <v>144</v>
      </c>
      <c r="Q529" s="93" t="s">
        <v>19</v>
      </c>
      <c r="R529" s="94">
        <f>P529*(J529-(J529*L529)-((J529-(J529*L529))*M529))</f>
        <v>2477790</v>
      </c>
      <c r="S529" s="94">
        <f t="shared" si="200"/>
        <v>2232243.2432432431</v>
      </c>
    </row>
    <row r="530" spans="1:19" s="19" customFormat="1">
      <c r="A530" s="18" t="s">
        <v>336</v>
      </c>
      <c r="B530" s="19" t="s">
        <v>18</v>
      </c>
      <c r="C530" s="20">
        <v>36</v>
      </c>
      <c r="D530" s="21" t="s">
        <v>19</v>
      </c>
      <c r="E530" s="26"/>
      <c r="F530" s="22">
        <v>1</v>
      </c>
      <c r="G530" s="23" t="s">
        <v>20</v>
      </c>
      <c r="H530" s="22">
        <v>72</v>
      </c>
      <c r="I530" s="23" t="s">
        <v>19</v>
      </c>
      <c r="J530" s="24">
        <v>20700</v>
      </c>
      <c r="K530" s="21" t="s">
        <v>19</v>
      </c>
      <c r="L530" s="25">
        <v>0.125</v>
      </c>
      <c r="M530" s="25">
        <v>0.05</v>
      </c>
      <c r="N530" s="22"/>
      <c r="O530" s="23" t="s">
        <v>19</v>
      </c>
      <c r="P530" s="20">
        <f>(C530+(E530*F530*H530))-N530</f>
        <v>36</v>
      </c>
      <c r="Q530" s="23" t="s">
        <v>19</v>
      </c>
      <c r="R530" s="24">
        <f>P530*(J530-(J530*L530)-((J530-(J530*L530))*M530))</f>
        <v>619447.5</v>
      </c>
      <c r="S530" s="24">
        <f t="shared" si="200"/>
        <v>558060.81081081077</v>
      </c>
    </row>
    <row r="531" spans="1:19" s="19" customFormat="1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19" s="106" customFormat="1">
      <c r="A532" s="98" t="s">
        <v>337</v>
      </c>
      <c r="B532" s="106" t="s">
        <v>25</v>
      </c>
      <c r="C532" s="107"/>
      <c r="D532" s="108" t="s">
        <v>19</v>
      </c>
      <c r="E532" s="109">
        <v>4</v>
      </c>
      <c r="F532" s="110">
        <v>1</v>
      </c>
      <c r="G532" s="111" t="s">
        <v>20</v>
      </c>
      <c r="H532" s="110">
        <v>72</v>
      </c>
      <c r="I532" s="111" t="s">
        <v>19</v>
      </c>
      <c r="J532" s="112">
        <f>1310400/72</f>
        <v>18200</v>
      </c>
      <c r="K532" s="108" t="s">
        <v>19</v>
      </c>
      <c r="L532" s="113"/>
      <c r="M532" s="113">
        <v>0.17</v>
      </c>
      <c r="N532" s="110"/>
      <c r="O532" s="111" t="s">
        <v>19</v>
      </c>
      <c r="P532" s="107">
        <f>(C532+(E532*F532*H532))-N532</f>
        <v>288</v>
      </c>
      <c r="Q532" s="111" t="s">
        <v>19</v>
      </c>
      <c r="R532" s="112">
        <f>P532*(J532-(J532*L532)-((J532-(J532*L532))*M532))</f>
        <v>4350528</v>
      </c>
      <c r="S532" s="112">
        <f t="shared" si="200"/>
        <v>3919394.5945945941</v>
      </c>
    </row>
    <row r="533" spans="1:19" s="19" customFormat="1">
      <c r="A533" s="18" t="s">
        <v>338</v>
      </c>
      <c r="B533" s="19" t="s">
        <v>25</v>
      </c>
      <c r="C533" s="20">
        <v>36</v>
      </c>
      <c r="D533" s="21" t="s">
        <v>19</v>
      </c>
      <c r="E533" s="26"/>
      <c r="F533" s="22">
        <v>1</v>
      </c>
      <c r="G533" s="23" t="s">
        <v>20</v>
      </c>
      <c r="H533" s="22">
        <v>72</v>
      </c>
      <c r="I533" s="23" t="s">
        <v>19</v>
      </c>
      <c r="J533" s="24">
        <f>1512000/72</f>
        <v>21000</v>
      </c>
      <c r="K533" s="21" t="s">
        <v>19</v>
      </c>
      <c r="L533" s="25">
        <v>0.125</v>
      </c>
      <c r="M533" s="25">
        <v>0.05</v>
      </c>
      <c r="N533" s="22"/>
      <c r="O533" s="23" t="s">
        <v>19</v>
      </c>
      <c r="P533" s="20">
        <f>(C533+(E533*F533*H533))-N533</f>
        <v>36</v>
      </c>
      <c r="Q533" s="23" t="s">
        <v>19</v>
      </c>
      <c r="R533" s="24">
        <f>P533*(J533-(J533*L533)-((J533-(J533*L533))*M533))</f>
        <v>628425</v>
      </c>
      <c r="S533" s="24">
        <f t="shared" si="200"/>
        <v>566148.64864864864</v>
      </c>
    </row>
    <row r="534" spans="1:19" s="89" customFormat="1">
      <c r="A534" s="88" t="s">
        <v>782</v>
      </c>
      <c r="B534" s="89" t="s">
        <v>25</v>
      </c>
      <c r="C534" s="87"/>
      <c r="D534" s="90" t="s">
        <v>19</v>
      </c>
      <c r="E534" s="91"/>
      <c r="F534" s="92">
        <v>1</v>
      </c>
      <c r="G534" s="93" t="s">
        <v>20</v>
      </c>
      <c r="H534" s="92">
        <v>72</v>
      </c>
      <c r="I534" s="93" t="s">
        <v>19</v>
      </c>
      <c r="J534" s="94">
        <f>1224000/72</f>
        <v>17000</v>
      </c>
      <c r="K534" s="90" t="s">
        <v>19</v>
      </c>
      <c r="L534" s="95"/>
      <c r="M534" s="95">
        <v>0.17</v>
      </c>
      <c r="N534" s="92"/>
      <c r="O534" s="93" t="s">
        <v>19</v>
      </c>
      <c r="P534" s="87">
        <f>(C534+(E534*F534*H534))-N534</f>
        <v>0</v>
      </c>
      <c r="Q534" s="93" t="s">
        <v>19</v>
      </c>
      <c r="R534" s="94">
        <f>P534*(J534-(J534*L534)-((J534-(J534*L534))*M534))</f>
        <v>0</v>
      </c>
      <c r="S534" s="94">
        <f t="shared" si="200"/>
        <v>0</v>
      </c>
    </row>
    <row r="535" spans="1:19" s="89" customFormat="1">
      <c r="A535" s="88" t="s">
        <v>339</v>
      </c>
      <c r="B535" s="89" t="s">
        <v>25</v>
      </c>
      <c r="C535" s="87"/>
      <c r="D535" s="90" t="s">
        <v>19</v>
      </c>
      <c r="E535" s="91"/>
      <c r="F535" s="92">
        <v>1</v>
      </c>
      <c r="G535" s="93" t="s">
        <v>20</v>
      </c>
      <c r="H535" s="92">
        <v>120</v>
      </c>
      <c r="I535" s="93" t="s">
        <v>19</v>
      </c>
      <c r="J535" s="94">
        <v>9000</v>
      </c>
      <c r="K535" s="90" t="s">
        <v>19</v>
      </c>
      <c r="L535" s="95"/>
      <c r="M535" s="95">
        <v>0.17</v>
      </c>
      <c r="N535" s="92"/>
      <c r="O535" s="93" t="s">
        <v>19</v>
      </c>
      <c r="P535" s="87">
        <f>(C535+(E535*F535*H535))-N535</f>
        <v>0</v>
      </c>
      <c r="Q535" s="93" t="s">
        <v>19</v>
      </c>
      <c r="R535" s="94">
        <f>P535*(J535-(J535*L535)-((J535-(J535*L535))*M535))</f>
        <v>0</v>
      </c>
      <c r="S535" s="94">
        <f t="shared" si="200"/>
        <v>0</v>
      </c>
    </row>
    <row r="536" spans="1:19" s="19" customFormat="1">
      <c r="A536" s="18"/>
      <c r="C536" s="20"/>
      <c r="D536" s="21"/>
      <c r="E536" s="26"/>
      <c r="F536" s="22"/>
      <c r="G536" s="23"/>
      <c r="H536" s="22"/>
      <c r="I536" s="23"/>
      <c r="J536" s="24"/>
      <c r="K536" s="21"/>
      <c r="L536" s="25"/>
      <c r="M536" s="25"/>
      <c r="N536" s="22"/>
      <c r="O536" s="23"/>
      <c r="P536" s="20"/>
      <c r="Q536" s="23"/>
      <c r="R536" s="24"/>
      <c r="S536" s="24"/>
    </row>
    <row r="537" spans="1:19" s="19" customFormat="1">
      <c r="A537" s="71" t="s">
        <v>340</v>
      </c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89" customFormat="1">
      <c r="A538" s="88" t="s">
        <v>341</v>
      </c>
      <c r="B538" s="89" t="s">
        <v>18</v>
      </c>
      <c r="C538" s="87"/>
      <c r="D538" s="90" t="s">
        <v>19</v>
      </c>
      <c r="E538" s="91"/>
      <c r="F538" s="92">
        <v>2</v>
      </c>
      <c r="G538" s="93" t="s">
        <v>33</v>
      </c>
      <c r="H538" s="92">
        <v>24</v>
      </c>
      <c r="I538" s="93" t="s">
        <v>19</v>
      </c>
      <c r="J538" s="94">
        <v>9200</v>
      </c>
      <c r="K538" s="90" t="s">
        <v>19</v>
      </c>
      <c r="L538" s="95">
        <v>0.125</v>
      </c>
      <c r="M538" s="95">
        <v>0.05</v>
      </c>
      <c r="N538" s="92"/>
      <c r="O538" s="93" t="s">
        <v>19</v>
      </c>
      <c r="P538" s="87">
        <f>(C538+(E538*F538*H538))-N538</f>
        <v>0</v>
      </c>
      <c r="Q538" s="93" t="s">
        <v>19</v>
      </c>
      <c r="R538" s="94">
        <f>P538*(J538-(J538*L538)-((J538-(J538*L538))*M538))</f>
        <v>0</v>
      </c>
      <c r="S538" s="94">
        <f t="shared" si="200"/>
        <v>0</v>
      </c>
    </row>
    <row r="539" spans="1:19" s="89" customFormat="1">
      <c r="A539" s="88" t="s">
        <v>732</v>
      </c>
      <c r="B539" s="89" t="s">
        <v>18</v>
      </c>
      <c r="C539" s="87"/>
      <c r="D539" s="90" t="s">
        <v>19</v>
      </c>
      <c r="E539" s="91"/>
      <c r="F539" s="92">
        <v>4</v>
      </c>
      <c r="G539" s="93" t="s">
        <v>33</v>
      </c>
      <c r="H539" s="92">
        <v>24</v>
      </c>
      <c r="I539" s="93" t="s">
        <v>19</v>
      </c>
      <c r="J539" s="94">
        <v>6300</v>
      </c>
      <c r="K539" s="90" t="s">
        <v>19</v>
      </c>
      <c r="L539" s="95">
        <v>0.125</v>
      </c>
      <c r="M539" s="95">
        <v>0.05</v>
      </c>
      <c r="N539" s="92"/>
      <c r="O539" s="93" t="s">
        <v>19</v>
      </c>
      <c r="P539" s="87">
        <f>(C539+(E539*F539*H539))-N539</f>
        <v>0</v>
      </c>
      <c r="Q539" s="93" t="s">
        <v>19</v>
      </c>
      <c r="R539" s="94">
        <f>P539*(J539-(J539*L539)-((J539-(J539*L539))*M539))</f>
        <v>0</v>
      </c>
      <c r="S539" s="94">
        <f t="shared" si="200"/>
        <v>0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18" t="s">
        <v>342</v>
      </c>
      <c r="B541" s="19" t="s">
        <v>25</v>
      </c>
      <c r="C541" s="20"/>
      <c r="D541" s="21" t="s">
        <v>40</v>
      </c>
      <c r="E541" s="26">
        <v>8</v>
      </c>
      <c r="F541" s="22">
        <v>1</v>
      </c>
      <c r="G541" s="23" t="s">
        <v>20</v>
      </c>
      <c r="H541" s="22">
        <v>12</v>
      </c>
      <c r="I541" s="23" t="s">
        <v>40</v>
      </c>
      <c r="J541" s="24">
        <f>741600/12</f>
        <v>61800</v>
      </c>
      <c r="K541" s="21" t="s">
        <v>40</v>
      </c>
      <c r="L541" s="25"/>
      <c r="M541" s="25">
        <v>0.17</v>
      </c>
      <c r="N541" s="22"/>
      <c r="O541" s="23" t="s">
        <v>40</v>
      </c>
      <c r="P541" s="20">
        <f>(C541+(E541*F541*H541))-N541</f>
        <v>96</v>
      </c>
      <c r="Q541" s="23" t="s">
        <v>40</v>
      </c>
      <c r="R541" s="24">
        <f>P541*(J541-(J541*L541)-((J541-(J541*L541))*M541))</f>
        <v>4924224</v>
      </c>
      <c r="S541" s="24">
        <f t="shared" si="200"/>
        <v>4436237.8378378376</v>
      </c>
    </row>
    <row r="542" spans="1:19" s="19" customFormat="1">
      <c r="A542" s="18" t="s">
        <v>343</v>
      </c>
      <c r="B542" s="19" t="s">
        <v>25</v>
      </c>
      <c r="C542" s="20">
        <v>23</v>
      </c>
      <c r="D542" s="21" t="s">
        <v>40</v>
      </c>
      <c r="E542" s="26">
        <v>9</v>
      </c>
      <c r="F542" s="22">
        <v>1</v>
      </c>
      <c r="G542" s="23" t="s">
        <v>20</v>
      </c>
      <c r="H542" s="22">
        <v>20</v>
      </c>
      <c r="I542" s="23" t="s">
        <v>40</v>
      </c>
      <c r="J542" s="24">
        <f>804000/20</f>
        <v>40200</v>
      </c>
      <c r="K542" s="21" t="s">
        <v>40</v>
      </c>
      <c r="L542" s="25"/>
      <c r="M542" s="25">
        <v>0.17</v>
      </c>
      <c r="N542" s="22"/>
      <c r="O542" s="23" t="s">
        <v>40</v>
      </c>
      <c r="P542" s="20">
        <f>(C542+(E542*F542*H542))-N542</f>
        <v>203</v>
      </c>
      <c r="Q542" s="23" t="s">
        <v>40</v>
      </c>
      <c r="R542" s="24">
        <f>P542*(J542-(J542*L542)-((J542-(J542*L542))*M542))</f>
        <v>6773298</v>
      </c>
      <c r="S542" s="24">
        <f t="shared" si="200"/>
        <v>6102070.2702702694</v>
      </c>
    </row>
    <row r="543" spans="1:19" s="106" customFormat="1">
      <c r="A543" s="98" t="s">
        <v>344</v>
      </c>
      <c r="B543" s="106" t="s">
        <v>25</v>
      </c>
      <c r="C543" s="107"/>
      <c r="D543" s="108" t="s">
        <v>40</v>
      </c>
      <c r="E543" s="109">
        <v>2</v>
      </c>
      <c r="F543" s="110">
        <v>1</v>
      </c>
      <c r="G543" s="111" t="s">
        <v>20</v>
      </c>
      <c r="H543" s="110">
        <v>6</v>
      </c>
      <c r="I543" s="111" t="s">
        <v>40</v>
      </c>
      <c r="J543" s="112">
        <f>810000/6</f>
        <v>135000</v>
      </c>
      <c r="K543" s="108" t="s">
        <v>40</v>
      </c>
      <c r="L543" s="113"/>
      <c r="M543" s="113">
        <v>0.17</v>
      </c>
      <c r="N543" s="110"/>
      <c r="O543" s="111" t="s">
        <v>40</v>
      </c>
      <c r="P543" s="107">
        <f>(C543+(E543*F543*H543))-N543</f>
        <v>12</v>
      </c>
      <c r="Q543" s="111" t="s">
        <v>40</v>
      </c>
      <c r="R543" s="112">
        <f>P543*(J543-(J543*L543)-((J543-(J543*L543))*M543))</f>
        <v>1344600</v>
      </c>
      <c r="S543" s="112">
        <f t="shared" si="200"/>
        <v>1211351.3513513512</v>
      </c>
    </row>
    <row r="544" spans="1:19" s="19" customFormat="1">
      <c r="A544" s="18"/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20" s="19" customFormat="1">
      <c r="A545" s="71" t="s">
        <v>345</v>
      </c>
      <c r="C545" s="20"/>
      <c r="D545" s="21"/>
      <c r="E545" s="26"/>
      <c r="F545" s="22"/>
      <c r="G545" s="23"/>
      <c r="H545" s="22"/>
      <c r="I545" s="23"/>
      <c r="J545" s="24"/>
      <c r="K545" s="21"/>
      <c r="L545" s="73"/>
      <c r="M545" s="73"/>
      <c r="N545" s="22"/>
      <c r="O545" s="23"/>
      <c r="P545" s="20"/>
      <c r="Q545" s="23"/>
      <c r="R545" s="24"/>
      <c r="S545" s="24"/>
    </row>
    <row r="546" spans="1:20" s="89" customFormat="1">
      <c r="A546" s="88" t="s">
        <v>346</v>
      </c>
      <c r="B546" s="89" t="s">
        <v>18</v>
      </c>
      <c r="C546" s="87"/>
      <c r="D546" s="90" t="s">
        <v>152</v>
      </c>
      <c r="E546" s="91"/>
      <c r="F546" s="92">
        <v>36</v>
      </c>
      <c r="G546" s="93" t="s">
        <v>33</v>
      </c>
      <c r="H546" s="92">
        <v>30</v>
      </c>
      <c r="I546" s="93" t="s">
        <v>152</v>
      </c>
      <c r="J546" s="94">
        <v>3200</v>
      </c>
      <c r="K546" s="90" t="s">
        <v>152</v>
      </c>
      <c r="L546" s="95">
        <v>0.125</v>
      </c>
      <c r="M546" s="95">
        <v>0.05</v>
      </c>
      <c r="N546" s="92"/>
      <c r="O546" s="93" t="s">
        <v>152</v>
      </c>
      <c r="P546" s="87">
        <f>(C546+(E546*F546*H546))-N546</f>
        <v>0</v>
      </c>
      <c r="Q546" s="93" t="s">
        <v>152</v>
      </c>
      <c r="R546" s="94">
        <f>P546*(J546-(J546*L546)-((J546-(J546*L546))*M546))</f>
        <v>0</v>
      </c>
      <c r="S546" s="94">
        <f t="shared" si="200"/>
        <v>0</v>
      </c>
      <c r="T546" s="94"/>
    </row>
    <row r="547" spans="1:20" s="89" customFormat="1">
      <c r="A547" s="88" t="s">
        <v>347</v>
      </c>
      <c r="B547" s="89" t="s">
        <v>18</v>
      </c>
      <c r="C547" s="87"/>
      <c r="D547" s="90" t="s">
        <v>152</v>
      </c>
      <c r="E547" s="91"/>
      <c r="F547" s="92">
        <v>36</v>
      </c>
      <c r="G547" s="93" t="s">
        <v>33</v>
      </c>
      <c r="H547" s="92">
        <v>30</v>
      </c>
      <c r="I547" s="93" t="s">
        <v>152</v>
      </c>
      <c r="J547" s="94">
        <v>2900</v>
      </c>
      <c r="K547" s="90" t="s">
        <v>152</v>
      </c>
      <c r="L547" s="95">
        <v>0.125</v>
      </c>
      <c r="M547" s="95">
        <v>0.05</v>
      </c>
      <c r="N547" s="92"/>
      <c r="O547" s="93" t="s">
        <v>152</v>
      </c>
      <c r="P547" s="87">
        <f>(C547+(E547*F547*H547))-N547</f>
        <v>0</v>
      </c>
      <c r="Q547" s="93" t="s">
        <v>152</v>
      </c>
      <c r="R547" s="94">
        <f>P547*(J547-(J547*L547)-((J547-(J547*L547))*M547))</f>
        <v>0</v>
      </c>
      <c r="S547" s="94">
        <f t="shared" si="200"/>
        <v>0</v>
      </c>
      <c r="T547" s="94"/>
    </row>
    <row r="548" spans="1:20" s="19" customFormat="1">
      <c r="A548" s="18"/>
      <c r="C548" s="20"/>
      <c r="D548" s="21"/>
      <c r="E548" s="26"/>
      <c r="F548" s="22"/>
      <c r="G548" s="23"/>
      <c r="H548" s="22"/>
      <c r="I548" s="23"/>
      <c r="J548" s="24"/>
      <c r="K548" s="21"/>
      <c r="L548" s="25"/>
      <c r="M548" s="25"/>
      <c r="N548" s="22"/>
      <c r="O548" s="23"/>
      <c r="P548" s="20"/>
      <c r="Q548" s="23"/>
      <c r="R548" s="24"/>
      <c r="S548" s="24"/>
    </row>
    <row r="549" spans="1:20" s="19" customFormat="1" ht="15.75">
      <c r="A549" s="44" t="s">
        <v>348</v>
      </c>
      <c r="C549" s="20"/>
      <c r="D549" s="21"/>
      <c r="E549" s="26"/>
      <c r="F549" s="22"/>
      <c r="G549" s="23"/>
      <c r="H549" s="22"/>
      <c r="I549" s="23"/>
      <c r="J549" s="24"/>
      <c r="K549" s="21"/>
      <c r="L549" s="25"/>
      <c r="M549" s="25"/>
      <c r="N549" s="22"/>
      <c r="O549" s="23"/>
      <c r="P549" s="20"/>
      <c r="Q549" s="23"/>
      <c r="R549" s="24"/>
      <c r="S549" s="24"/>
    </row>
    <row r="550" spans="1:20" s="19" customFormat="1">
      <c r="A550" s="49" t="s">
        <v>351</v>
      </c>
      <c r="B550" s="19" t="s">
        <v>18</v>
      </c>
      <c r="C550" s="20"/>
      <c r="D550" s="21" t="s">
        <v>99</v>
      </c>
      <c r="E550" s="26">
        <v>2</v>
      </c>
      <c r="F550" s="22">
        <v>1</v>
      </c>
      <c r="G550" s="23" t="s">
        <v>20</v>
      </c>
      <c r="H550" s="22">
        <v>100</v>
      </c>
      <c r="I550" s="23" t="s">
        <v>99</v>
      </c>
      <c r="J550" s="24">
        <v>8400</v>
      </c>
      <c r="K550" s="21" t="s">
        <v>99</v>
      </c>
      <c r="L550" s="25">
        <v>0.125</v>
      </c>
      <c r="M550" s="25">
        <v>0.05</v>
      </c>
      <c r="N550" s="22"/>
      <c r="O550" s="23" t="s">
        <v>99</v>
      </c>
      <c r="P550" s="20">
        <f>(C550+(E550*F550*H550))-N550</f>
        <v>200</v>
      </c>
      <c r="Q550" s="23" t="s">
        <v>99</v>
      </c>
      <c r="R550" s="24">
        <f>P550*(J550-(J550*L550)-((J550-(J550*L550))*M550))</f>
        <v>1396500</v>
      </c>
      <c r="S550" s="24">
        <f>R550/1.11</f>
        <v>1258108.1081081079</v>
      </c>
      <c r="T550" s="24"/>
    </row>
    <row r="551" spans="1:20" s="19" customFormat="1">
      <c r="A551" s="49" t="s">
        <v>352</v>
      </c>
      <c r="B551" s="19" t="s">
        <v>18</v>
      </c>
      <c r="C551" s="20"/>
      <c r="D551" s="21" t="s">
        <v>99</v>
      </c>
      <c r="E551" s="26">
        <v>2</v>
      </c>
      <c r="F551" s="22">
        <v>1</v>
      </c>
      <c r="G551" s="23" t="s">
        <v>20</v>
      </c>
      <c r="H551" s="22">
        <v>100</v>
      </c>
      <c r="I551" s="23" t="s">
        <v>99</v>
      </c>
      <c r="J551" s="24">
        <v>8400</v>
      </c>
      <c r="K551" s="21" t="s">
        <v>99</v>
      </c>
      <c r="L551" s="25">
        <v>0.125</v>
      </c>
      <c r="M551" s="25">
        <v>0.05</v>
      </c>
      <c r="N551" s="22"/>
      <c r="O551" s="23" t="s">
        <v>99</v>
      </c>
      <c r="P551" s="20">
        <f>(C551+(E551*F551*H551))-N551</f>
        <v>200</v>
      </c>
      <c r="Q551" s="23" t="s">
        <v>99</v>
      </c>
      <c r="R551" s="24">
        <f>P551*(J551-(J551*L551)-((J551-(J551*L551))*M551))</f>
        <v>1396500</v>
      </c>
      <c r="S551" s="24">
        <f>R551/1.11</f>
        <v>1258108.1081081079</v>
      </c>
      <c r="T551" s="24"/>
    </row>
    <row r="552" spans="1:20" s="19" customFormat="1">
      <c r="A552" s="49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  <c r="T552" s="24"/>
    </row>
    <row r="553" spans="1:20" s="19" customFormat="1">
      <c r="A553" s="49" t="s">
        <v>349</v>
      </c>
      <c r="B553" s="19" t="s">
        <v>25</v>
      </c>
      <c r="C553" s="20">
        <v>60</v>
      </c>
      <c r="D553" s="21" t="s">
        <v>33</v>
      </c>
      <c r="E553" s="26"/>
      <c r="F553" s="22">
        <v>10</v>
      </c>
      <c r="G553" s="23" t="s">
        <v>99</v>
      </c>
      <c r="H553" s="22">
        <v>10</v>
      </c>
      <c r="I553" s="23" t="s">
        <v>33</v>
      </c>
      <c r="J553" s="24">
        <f>980000/100</f>
        <v>9800</v>
      </c>
      <c r="K553" s="21" t="s">
        <v>33</v>
      </c>
      <c r="L553" s="25"/>
      <c r="M553" s="25">
        <v>0.17</v>
      </c>
      <c r="N553" s="22"/>
      <c r="O553" s="23" t="s">
        <v>33</v>
      </c>
      <c r="P553" s="20">
        <f>(C553+(E553*F553*H553))-N553</f>
        <v>60</v>
      </c>
      <c r="Q553" s="23" t="s">
        <v>33</v>
      </c>
      <c r="R553" s="24">
        <f>P553*(J553-(J553*L553)-((J553-(J553*L553))*M553))</f>
        <v>488040</v>
      </c>
      <c r="S553" s="24">
        <f t="shared" si="200"/>
        <v>439675.67567567562</v>
      </c>
    </row>
    <row r="554" spans="1:20" s="106" customFormat="1">
      <c r="A554" s="162" t="s">
        <v>350</v>
      </c>
      <c r="B554" s="106" t="s">
        <v>25</v>
      </c>
      <c r="C554" s="107"/>
      <c r="D554" s="108" t="s">
        <v>33</v>
      </c>
      <c r="E554" s="109">
        <v>1</v>
      </c>
      <c r="F554" s="110">
        <v>10</v>
      </c>
      <c r="G554" s="111" t="s">
        <v>99</v>
      </c>
      <c r="H554" s="110">
        <v>10</v>
      </c>
      <c r="I554" s="111" t="s">
        <v>33</v>
      </c>
      <c r="J554" s="112">
        <f>980000/100</f>
        <v>9800</v>
      </c>
      <c r="K554" s="108" t="s">
        <v>33</v>
      </c>
      <c r="L554" s="113"/>
      <c r="M554" s="113">
        <v>0.17</v>
      </c>
      <c r="N554" s="110"/>
      <c r="O554" s="111" t="s">
        <v>33</v>
      </c>
      <c r="P554" s="107">
        <f>(C554+(E554*F554*H554))-N554</f>
        <v>100</v>
      </c>
      <c r="Q554" s="111" t="s">
        <v>33</v>
      </c>
      <c r="R554" s="112">
        <f>P554*(J554-(J554*L554)-((J554-(J554*L554))*M554))</f>
        <v>813400</v>
      </c>
      <c r="S554" s="112">
        <f t="shared" si="200"/>
        <v>732792.79279279278</v>
      </c>
    </row>
    <row r="555" spans="1:20" s="19" customFormat="1">
      <c r="A555" s="18"/>
      <c r="C555" s="20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20" s="19" customFormat="1" ht="15.75">
      <c r="A556" s="44" t="s">
        <v>353</v>
      </c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20" s="19" customFormat="1">
      <c r="A557" s="71" t="s">
        <v>354</v>
      </c>
      <c r="C557" s="20"/>
      <c r="D557" s="21"/>
      <c r="E557" s="26"/>
      <c r="F557" s="22"/>
      <c r="G557" s="23"/>
      <c r="H557" s="22"/>
      <c r="I557" s="23"/>
      <c r="J557" s="24"/>
      <c r="K557" s="21"/>
      <c r="L557" s="25"/>
      <c r="M557" s="25"/>
      <c r="N557" s="22"/>
      <c r="O557" s="23"/>
      <c r="P557" s="20"/>
      <c r="Q557" s="23"/>
      <c r="R557" s="24"/>
      <c r="S557" s="24"/>
    </row>
    <row r="558" spans="1:20" s="89" customFormat="1">
      <c r="A558" s="88" t="s">
        <v>355</v>
      </c>
      <c r="B558" s="89" t="s">
        <v>18</v>
      </c>
      <c r="C558" s="87"/>
      <c r="D558" s="90" t="s">
        <v>40</v>
      </c>
      <c r="E558" s="91"/>
      <c r="F558" s="92">
        <v>1</v>
      </c>
      <c r="G558" s="93" t="s">
        <v>20</v>
      </c>
      <c r="H558" s="92">
        <v>144</v>
      </c>
      <c r="I558" s="93" t="s">
        <v>40</v>
      </c>
      <c r="J558" s="94">
        <v>28200</v>
      </c>
      <c r="K558" s="90" t="s">
        <v>40</v>
      </c>
      <c r="L558" s="95">
        <v>0.125</v>
      </c>
      <c r="M558" s="95">
        <v>0.05</v>
      </c>
      <c r="N558" s="92"/>
      <c r="O558" s="93" t="s">
        <v>40</v>
      </c>
      <c r="P558" s="87">
        <f t="shared" ref="P558:P568" si="202">(C558+(E558*F558*H558))-N558</f>
        <v>0</v>
      </c>
      <c r="Q558" s="93" t="s">
        <v>40</v>
      </c>
      <c r="R558" s="94">
        <f t="shared" ref="R558:R567" si="203">P558*(J558-(J558*L558)-((J558-(J558*L558))*M558))</f>
        <v>0</v>
      </c>
      <c r="S558" s="94">
        <f t="shared" si="200"/>
        <v>0</v>
      </c>
    </row>
    <row r="559" spans="1:20" s="89" customFormat="1">
      <c r="A559" s="88" t="s">
        <v>356</v>
      </c>
      <c r="B559" s="89" t="s">
        <v>18</v>
      </c>
      <c r="C559" s="87"/>
      <c r="D559" s="90" t="s">
        <v>40</v>
      </c>
      <c r="E559" s="91"/>
      <c r="F559" s="92">
        <v>1</v>
      </c>
      <c r="G559" s="93" t="s">
        <v>20</v>
      </c>
      <c r="H559" s="92">
        <v>144</v>
      </c>
      <c r="I559" s="93" t="s">
        <v>40</v>
      </c>
      <c r="J559" s="94">
        <v>7800</v>
      </c>
      <c r="K559" s="90" t="s">
        <v>40</v>
      </c>
      <c r="L559" s="95">
        <v>0.1</v>
      </c>
      <c r="M559" s="95">
        <v>0.05</v>
      </c>
      <c r="N559" s="92"/>
      <c r="O559" s="93" t="s">
        <v>40</v>
      </c>
      <c r="P559" s="87">
        <f t="shared" si="202"/>
        <v>0</v>
      </c>
      <c r="Q559" s="93" t="s">
        <v>40</v>
      </c>
      <c r="R559" s="94">
        <f t="shared" si="203"/>
        <v>0</v>
      </c>
      <c r="S559" s="94">
        <f t="shared" si="200"/>
        <v>0</v>
      </c>
    </row>
    <row r="560" spans="1:20" s="19" customFormat="1">
      <c r="A560" s="18" t="s">
        <v>357</v>
      </c>
      <c r="B560" s="19" t="s">
        <v>18</v>
      </c>
      <c r="C560" s="20">
        <v>300</v>
      </c>
      <c r="D560" s="21" t="s">
        <v>40</v>
      </c>
      <c r="E560" s="26"/>
      <c r="F560" s="22">
        <v>1</v>
      </c>
      <c r="G560" s="23" t="s">
        <v>20</v>
      </c>
      <c r="H560" s="22">
        <v>144</v>
      </c>
      <c r="I560" s="23" t="s">
        <v>40</v>
      </c>
      <c r="J560" s="24">
        <v>6900</v>
      </c>
      <c r="K560" s="21" t="s">
        <v>40</v>
      </c>
      <c r="L560" s="25">
        <v>0.125</v>
      </c>
      <c r="M560" s="25">
        <v>0.05</v>
      </c>
      <c r="N560" s="22"/>
      <c r="O560" s="23" t="s">
        <v>40</v>
      </c>
      <c r="P560" s="20">
        <f t="shared" si="202"/>
        <v>300</v>
      </c>
      <c r="Q560" s="23" t="s">
        <v>40</v>
      </c>
      <c r="R560" s="24">
        <f t="shared" si="203"/>
        <v>1720687.5</v>
      </c>
      <c r="S560" s="24">
        <f t="shared" si="200"/>
        <v>1550168.9189189188</v>
      </c>
    </row>
    <row r="561" spans="1:19" s="89" customFormat="1">
      <c r="A561" s="88" t="s">
        <v>754</v>
      </c>
      <c r="B561" s="89" t="s">
        <v>18</v>
      </c>
      <c r="C561" s="87"/>
      <c r="D561" s="90" t="s">
        <v>40</v>
      </c>
      <c r="E561" s="91"/>
      <c r="F561" s="92">
        <v>1</v>
      </c>
      <c r="G561" s="93" t="s">
        <v>20</v>
      </c>
      <c r="H561" s="92">
        <v>144</v>
      </c>
      <c r="I561" s="93" t="s">
        <v>40</v>
      </c>
      <c r="J561" s="94">
        <v>7020</v>
      </c>
      <c r="K561" s="90" t="s">
        <v>40</v>
      </c>
      <c r="L561" s="95">
        <v>0.125</v>
      </c>
      <c r="M561" s="95">
        <v>0.05</v>
      </c>
      <c r="N561" s="92"/>
      <c r="O561" s="93" t="s">
        <v>40</v>
      </c>
      <c r="P561" s="87">
        <f t="shared" si="202"/>
        <v>0</v>
      </c>
      <c r="Q561" s="93" t="s">
        <v>40</v>
      </c>
      <c r="R561" s="94">
        <f t="shared" si="203"/>
        <v>0</v>
      </c>
      <c r="S561" s="94">
        <f t="shared" si="200"/>
        <v>0</v>
      </c>
    </row>
    <row r="562" spans="1:19" s="106" customFormat="1">
      <c r="A562" s="98" t="s">
        <v>358</v>
      </c>
      <c r="B562" s="106" t="s">
        <v>18</v>
      </c>
      <c r="C562" s="107"/>
      <c r="D562" s="108" t="s">
        <v>40</v>
      </c>
      <c r="E562" s="109">
        <v>1</v>
      </c>
      <c r="F562" s="110">
        <v>1</v>
      </c>
      <c r="G562" s="111" t="s">
        <v>20</v>
      </c>
      <c r="H562" s="110">
        <v>144</v>
      </c>
      <c r="I562" s="111" t="s">
        <v>40</v>
      </c>
      <c r="J562" s="112">
        <v>7200</v>
      </c>
      <c r="K562" s="108" t="s">
        <v>40</v>
      </c>
      <c r="L562" s="113">
        <v>0.125</v>
      </c>
      <c r="M562" s="113">
        <v>0.05</v>
      </c>
      <c r="N562" s="110"/>
      <c r="O562" s="111" t="s">
        <v>40</v>
      </c>
      <c r="P562" s="107">
        <f t="shared" ref="P562" si="204">(C562+(E562*F562*H562))-N562</f>
        <v>144</v>
      </c>
      <c r="Q562" s="111" t="s">
        <v>40</v>
      </c>
      <c r="R562" s="112">
        <f t="shared" ref="R562" si="205">P562*(J562-(J562*L562)-((J562-(J562*L562))*M562))</f>
        <v>861840</v>
      </c>
      <c r="S562" s="112">
        <f t="shared" ref="S562" si="206">R562/1.11</f>
        <v>776432.43243243231</v>
      </c>
    </row>
    <row r="563" spans="1:19" s="89" customFormat="1">
      <c r="A563" s="88" t="s">
        <v>358</v>
      </c>
      <c r="B563" s="89" t="s">
        <v>18</v>
      </c>
      <c r="C563" s="87"/>
      <c r="D563" s="90" t="s">
        <v>40</v>
      </c>
      <c r="E563" s="91"/>
      <c r="F563" s="92">
        <v>1</v>
      </c>
      <c r="G563" s="93" t="s">
        <v>20</v>
      </c>
      <c r="H563" s="92">
        <v>144</v>
      </c>
      <c r="I563" s="93" t="s">
        <v>40</v>
      </c>
      <c r="J563" s="94">
        <v>7020</v>
      </c>
      <c r="K563" s="90" t="s">
        <v>40</v>
      </c>
      <c r="L563" s="95">
        <v>0.125</v>
      </c>
      <c r="M563" s="95">
        <v>0.05</v>
      </c>
      <c r="N563" s="92"/>
      <c r="O563" s="93" t="s">
        <v>40</v>
      </c>
      <c r="P563" s="87">
        <f t="shared" si="202"/>
        <v>0</v>
      </c>
      <c r="Q563" s="93" t="s">
        <v>40</v>
      </c>
      <c r="R563" s="94">
        <f t="shared" si="203"/>
        <v>0</v>
      </c>
      <c r="S563" s="94">
        <f t="shared" si="200"/>
        <v>0</v>
      </c>
    </row>
    <row r="564" spans="1:19" s="89" customFormat="1">
      <c r="A564" s="88" t="s">
        <v>720</v>
      </c>
      <c r="B564" s="89" t="s">
        <v>18</v>
      </c>
      <c r="C564" s="87"/>
      <c r="D564" s="90" t="s">
        <v>40</v>
      </c>
      <c r="E564" s="91"/>
      <c r="F564" s="92">
        <v>1</v>
      </c>
      <c r="G564" s="93" t="s">
        <v>20</v>
      </c>
      <c r="H564" s="92">
        <v>144</v>
      </c>
      <c r="I564" s="93" t="s">
        <v>40</v>
      </c>
      <c r="J564" s="94">
        <v>6600</v>
      </c>
      <c r="K564" s="90" t="s">
        <v>40</v>
      </c>
      <c r="L564" s="95">
        <v>0.125</v>
      </c>
      <c r="M564" s="95">
        <v>0.05</v>
      </c>
      <c r="N564" s="92"/>
      <c r="O564" s="93" t="s">
        <v>40</v>
      </c>
      <c r="P564" s="87">
        <f t="shared" si="202"/>
        <v>0</v>
      </c>
      <c r="Q564" s="93" t="s">
        <v>40</v>
      </c>
      <c r="R564" s="94">
        <f t="shared" si="203"/>
        <v>0</v>
      </c>
      <c r="S564" s="94">
        <f t="shared" si="200"/>
        <v>0</v>
      </c>
    </row>
    <row r="565" spans="1:19" s="19" customFormat="1">
      <c r="A565" s="18" t="s">
        <v>650</v>
      </c>
      <c r="B565" s="19" t="s">
        <v>18</v>
      </c>
      <c r="C565" s="20"/>
      <c r="D565" s="21" t="s">
        <v>40</v>
      </c>
      <c r="E565" s="26">
        <v>2</v>
      </c>
      <c r="F565" s="22">
        <v>1</v>
      </c>
      <c r="G565" s="23" t="s">
        <v>20</v>
      </c>
      <c r="H565" s="22">
        <v>144</v>
      </c>
      <c r="I565" s="23" t="s">
        <v>40</v>
      </c>
      <c r="J565" s="24">
        <v>6120</v>
      </c>
      <c r="K565" s="21" t="s">
        <v>40</v>
      </c>
      <c r="L565" s="25">
        <v>0.125</v>
      </c>
      <c r="M565" s="25">
        <v>0.05</v>
      </c>
      <c r="N565" s="22"/>
      <c r="O565" s="23" t="s">
        <v>40</v>
      </c>
      <c r="P565" s="20">
        <f t="shared" ref="P565" si="207">(C565+(E565*F565*H565))-N565</f>
        <v>288</v>
      </c>
      <c r="Q565" s="23" t="s">
        <v>40</v>
      </c>
      <c r="R565" s="24">
        <f t="shared" ref="R565" si="208">P565*(J565-(J565*L565)-((J565-(J565*L565))*M565))</f>
        <v>1465128</v>
      </c>
      <c r="S565" s="24">
        <f t="shared" ref="S565" si="209">R565/1.11</f>
        <v>1319935.1351351349</v>
      </c>
    </row>
    <row r="566" spans="1:19" s="89" customFormat="1">
      <c r="A566" s="88" t="s">
        <v>696</v>
      </c>
      <c r="B566" s="89" t="s">
        <v>18</v>
      </c>
      <c r="C566" s="87"/>
      <c r="D566" s="90" t="s">
        <v>40</v>
      </c>
      <c r="E566" s="91"/>
      <c r="F566" s="92">
        <v>1</v>
      </c>
      <c r="G566" s="93" t="s">
        <v>20</v>
      </c>
      <c r="H566" s="92">
        <v>144</v>
      </c>
      <c r="I566" s="93" t="s">
        <v>40</v>
      </c>
      <c r="J566" s="94">
        <v>6000</v>
      </c>
      <c r="K566" s="90" t="s">
        <v>40</v>
      </c>
      <c r="L566" s="95">
        <v>0.125</v>
      </c>
      <c r="M566" s="95">
        <v>0.05</v>
      </c>
      <c r="N566" s="92"/>
      <c r="O566" s="93" t="s">
        <v>40</v>
      </c>
      <c r="P566" s="87">
        <f t="shared" si="202"/>
        <v>0</v>
      </c>
      <c r="Q566" s="93" t="s">
        <v>40</v>
      </c>
      <c r="R566" s="94">
        <f t="shared" si="203"/>
        <v>0</v>
      </c>
      <c r="S566" s="94">
        <f t="shared" si="200"/>
        <v>0</v>
      </c>
    </row>
    <row r="567" spans="1:19" s="19" customFormat="1">
      <c r="A567" s="18" t="s">
        <v>359</v>
      </c>
      <c r="B567" s="19" t="s">
        <v>18</v>
      </c>
      <c r="C567" s="20">
        <v>864</v>
      </c>
      <c r="D567" s="21" t="s">
        <v>40</v>
      </c>
      <c r="E567" s="26"/>
      <c r="F567" s="22">
        <v>1</v>
      </c>
      <c r="G567" s="23" t="s">
        <v>20</v>
      </c>
      <c r="H567" s="22">
        <v>144</v>
      </c>
      <c r="I567" s="23" t="s">
        <v>40</v>
      </c>
      <c r="J567" s="24">
        <v>5100</v>
      </c>
      <c r="K567" s="21" t="s">
        <v>40</v>
      </c>
      <c r="L567" s="25">
        <v>0.125</v>
      </c>
      <c r="M567" s="25">
        <v>0.05</v>
      </c>
      <c r="N567" s="22"/>
      <c r="O567" s="23" t="s">
        <v>40</v>
      </c>
      <c r="P567" s="20">
        <f t="shared" si="202"/>
        <v>864</v>
      </c>
      <c r="Q567" s="23" t="s">
        <v>40</v>
      </c>
      <c r="R567" s="24">
        <f t="shared" si="203"/>
        <v>3662820</v>
      </c>
      <c r="S567" s="24">
        <f t="shared" si="200"/>
        <v>3299837.8378378376</v>
      </c>
    </row>
    <row r="568" spans="1:19" s="19" customFormat="1">
      <c r="A568" s="31" t="s">
        <v>835</v>
      </c>
      <c r="B568" s="32" t="s">
        <v>18</v>
      </c>
      <c r="C568" s="76">
        <v>36</v>
      </c>
      <c r="D568" s="34" t="s">
        <v>40</v>
      </c>
      <c r="E568" s="35"/>
      <c r="F568" s="36">
        <v>1</v>
      </c>
      <c r="G568" s="37" t="s">
        <v>20</v>
      </c>
      <c r="H568" s="36">
        <v>144</v>
      </c>
      <c r="I568" s="37" t="s">
        <v>40</v>
      </c>
      <c r="J568" s="38"/>
      <c r="K568" s="34" t="s">
        <v>40</v>
      </c>
      <c r="L568" s="39">
        <v>0.1</v>
      </c>
      <c r="M568" s="39">
        <v>0.05</v>
      </c>
      <c r="N568" s="36"/>
      <c r="O568" s="37" t="s">
        <v>40</v>
      </c>
      <c r="P568" s="33">
        <f t="shared" si="202"/>
        <v>36</v>
      </c>
      <c r="Q568" s="37" t="s">
        <v>40</v>
      </c>
      <c r="R568" s="38">
        <f>P568*(J568-(J568*L568)-((J568-(J568*L568))*M568))</f>
        <v>0</v>
      </c>
      <c r="S568" s="38">
        <f t="shared" ref="S568" si="210">R568/1.11</f>
        <v>0</v>
      </c>
    </row>
    <row r="569" spans="1:19" s="19" customFormat="1">
      <c r="A569" s="31" t="s">
        <v>360</v>
      </c>
      <c r="B569" s="32" t="s">
        <v>18</v>
      </c>
      <c r="C569" s="76"/>
      <c r="D569" s="34" t="s">
        <v>40</v>
      </c>
      <c r="E569" s="35">
        <v>10</v>
      </c>
      <c r="F569" s="36">
        <v>1</v>
      </c>
      <c r="G569" s="37" t="s">
        <v>20</v>
      </c>
      <c r="H569" s="36">
        <v>144</v>
      </c>
      <c r="I569" s="37" t="s">
        <v>40</v>
      </c>
      <c r="J569" s="38">
        <v>12600</v>
      </c>
      <c r="K569" s="34" t="s">
        <v>40</v>
      </c>
      <c r="L569" s="39">
        <v>0.125</v>
      </c>
      <c r="M569" s="39">
        <v>0.05</v>
      </c>
      <c r="N569" s="36"/>
      <c r="O569" s="37" t="s">
        <v>40</v>
      </c>
      <c r="P569" s="33">
        <f>(C569+(E569*F569*H569))-N569</f>
        <v>1440</v>
      </c>
      <c r="Q569" s="37" t="s">
        <v>40</v>
      </c>
      <c r="R569" s="38">
        <f>P569*(J569-(J569*L569)-((J569-(J569*L569))*M569))</f>
        <v>15082200</v>
      </c>
      <c r="S569" s="38">
        <f>R569/1.11</f>
        <v>13587567.567567566</v>
      </c>
    </row>
    <row r="570" spans="1:19" s="19" customFormat="1">
      <c r="A570" s="164" t="s">
        <v>905</v>
      </c>
      <c r="B570" s="19" t="s">
        <v>18</v>
      </c>
      <c r="C570" s="57">
        <f>1008/12</f>
        <v>84</v>
      </c>
      <c r="D570" s="21" t="s">
        <v>40</v>
      </c>
      <c r="E570" s="26"/>
      <c r="F570" s="22">
        <v>1</v>
      </c>
      <c r="G570" s="23" t="s">
        <v>20</v>
      </c>
      <c r="H570" s="22">
        <v>144</v>
      </c>
      <c r="I570" s="23" t="s">
        <v>40</v>
      </c>
      <c r="J570" s="24">
        <v>13200</v>
      </c>
      <c r="K570" s="21" t="s">
        <v>40</v>
      </c>
      <c r="L570" s="25">
        <v>0.1</v>
      </c>
      <c r="M570" s="25">
        <v>0.05</v>
      </c>
      <c r="N570" s="22"/>
      <c r="O570" s="23" t="s">
        <v>40</v>
      </c>
      <c r="P570" s="20">
        <f>(C570+(E570*F570*H570))-N570</f>
        <v>84</v>
      </c>
      <c r="Q570" s="23" t="s">
        <v>40</v>
      </c>
      <c r="R570" s="24">
        <f>P570*(J570-(J570*L570)-((J570-(J570*L570))*M570))</f>
        <v>948024</v>
      </c>
      <c r="S570" s="24">
        <f>R570/1.11</f>
        <v>854075.67567567562</v>
      </c>
    </row>
    <row r="571" spans="1:19" s="19" customFormat="1">
      <c r="A571" s="164" t="s">
        <v>905</v>
      </c>
      <c r="B571" s="19" t="s">
        <v>18</v>
      </c>
      <c r="C571" s="57">
        <f>(3*12*12)+(432/12)</f>
        <v>468</v>
      </c>
      <c r="D571" s="21" t="s">
        <v>40</v>
      </c>
      <c r="E571" s="26"/>
      <c r="F571" s="22">
        <v>1</v>
      </c>
      <c r="G571" s="23" t="s">
        <v>20</v>
      </c>
      <c r="H571" s="22">
        <v>144</v>
      </c>
      <c r="I571" s="23" t="s">
        <v>40</v>
      </c>
      <c r="J571" s="24">
        <v>13200</v>
      </c>
      <c r="K571" s="21" t="s">
        <v>40</v>
      </c>
      <c r="L571" s="25">
        <v>0.125</v>
      </c>
      <c r="M571" s="25">
        <v>0.05</v>
      </c>
      <c r="N571" s="22"/>
      <c r="O571" s="23" t="s">
        <v>40</v>
      </c>
      <c r="P571" s="20">
        <f>(C571+(E571*F571*H571))-N571</f>
        <v>468</v>
      </c>
      <c r="Q571" s="23" t="s">
        <v>40</v>
      </c>
      <c r="R571" s="24">
        <f>P571*(J571-(J571*L571)-((J571-(J571*L571))*M571))</f>
        <v>5135130</v>
      </c>
      <c r="S571" s="24">
        <f>R571/1.11</f>
        <v>4626243.2432432426</v>
      </c>
    </row>
    <row r="572" spans="1:19" s="19" customFormat="1">
      <c r="A572" s="18"/>
      <c r="C572" s="57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19" s="89" customFormat="1">
      <c r="A573" s="145" t="s">
        <v>361</v>
      </c>
      <c r="B573" s="89" t="s">
        <v>25</v>
      </c>
      <c r="C573" s="87"/>
      <c r="D573" s="90" t="s">
        <v>40</v>
      </c>
      <c r="E573" s="91"/>
      <c r="F573" s="92">
        <v>1</v>
      </c>
      <c r="G573" s="93" t="s">
        <v>20</v>
      </c>
      <c r="H573" s="92">
        <v>144</v>
      </c>
      <c r="I573" s="93" t="s">
        <v>40</v>
      </c>
      <c r="J573" s="94">
        <v>22200</v>
      </c>
      <c r="K573" s="90" t="s">
        <v>40</v>
      </c>
      <c r="L573" s="95"/>
      <c r="M573" s="95">
        <v>0.17</v>
      </c>
      <c r="N573" s="92"/>
      <c r="O573" s="93" t="s">
        <v>40</v>
      </c>
      <c r="P573" s="87">
        <f t="shared" ref="P573:P579" si="211">(C573+(E573*F573*H573))-N573</f>
        <v>0</v>
      </c>
      <c r="Q573" s="93" t="s">
        <v>40</v>
      </c>
      <c r="R573" s="94">
        <f t="shared" ref="R573:R579" si="212">P573*(J573-(J573*L573)-((J573-(J573*L573))*M573))</f>
        <v>0</v>
      </c>
      <c r="S573" s="94">
        <f t="shared" si="200"/>
        <v>0</v>
      </c>
    </row>
    <row r="574" spans="1:19" s="89" customFormat="1">
      <c r="A574" s="145" t="s">
        <v>362</v>
      </c>
      <c r="B574" s="89" t="s">
        <v>25</v>
      </c>
      <c r="C574" s="87"/>
      <c r="D574" s="90" t="s">
        <v>40</v>
      </c>
      <c r="E574" s="91"/>
      <c r="F574" s="92">
        <v>1</v>
      </c>
      <c r="G574" s="93" t="s">
        <v>20</v>
      </c>
      <c r="H574" s="92">
        <v>144</v>
      </c>
      <c r="I574" s="93" t="s">
        <v>40</v>
      </c>
      <c r="J574" s="94">
        <f>1728000/144</f>
        <v>12000</v>
      </c>
      <c r="K574" s="90" t="s">
        <v>40</v>
      </c>
      <c r="L574" s="95"/>
      <c r="M574" s="95">
        <v>0.17</v>
      </c>
      <c r="N574" s="92"/>
      <c r="O574" s="93" t="s">
        <v>40</v>
      </c>
      <c r="P574" s="87">
        <f t="shared" si="211"/>
        <v>0</v>
      </c>
      <c r="Q574" s="93" t="s">
        <v>40</v>
      </c>
      <c r="R574" s="94">
        <f t="shared" si="212"/>
        <v>0</v>
      </c>
      <c r="S574" s="94">
        <f t="shared" si="200"/>
        <v>0</v>
      </c>
    </row>
    <row r="575" spans="1:19" s="89" customFormat="1">
      <c r="A575" s="145" t="s">
        <v>363</v>
      </c>
      <c r="B575" s="89" t="s">
        <v>25</v>
      </c>
      <c r="C575" s="87"/>
      <c r="D575" s="90" t="s">
        <v>40</v>
      </c>
      <c r="E575" s="91"/>
      <c r="F575" s="92">
        <v>1</v>
      </c>
      <c r="G575" s="93" t="s">
        <v>20</v>
      </c>
      <c r="H575" s="92">
        <v>144</v>
      </c>
      <c r="I575" s="93" t="s">
        <v>40</v>
      </c>
      <c r="J575" s="94">
        <v>13800</v>
      </c>
      <c r="K575" s="90" t="s">
        <v>40</v>
      </c>
      <c r="L575" s="95"/>
      <c r="M575" s="95">
        <v>0.17</v>
      </c>
      <c r="N575" s="92"/>
      <c r="O575" s="93" t="s">
        <v>40</v>
      </c>
      <c r="P575" s="87">
        <f t="shared" si="211"/>
        <v>0</v>
      </c>
      <c r="Q575" s="93" t="s">
        <v>40</v>
      </c>
      <c r="R575" s="94">
        <f t="shared" si="212"/>
        <v>0</v>
      </c>
      <c r="S575" s="94">
        <f t="shared" si="200"/>
        <v>0</v>
      </c>
    </row>
    <row r="576" spans="1:19" s="89" customFormat="1">
      <c r="A576" s="145" t="s">
        <v>364</v>
      </c>
      <c r="B576" s="89" t="s">
        <v>25</v>
      </c>
      <c r="C576" s="87"/>
      <c r="D576" s="90" t="s">
        <v>40</v>
      </c>
      <c r="E576" s="91"/>
      <c r="F576" s="92">
        <v>1</v>
      </c>
      <c r="G576" s="93" t="s">
        <v>20</v>
      </c>
      <c r="H576" s="92">
        <v>144</v>
      </c>
      <c r="I576" s="93" t="s">
        <v>40</v>
      </c>
      <c r="J576" s="94">
        <v>13800</v>
      </c>
      <c r="K576" s="90" t="s">
        <v>40</v>
      </c>
      <c r="L576" s="95"/>
      <c r="M576" s="95">
        <v>0.17</v>
      </c>
      <c r="N576" s="92"/>
      <c r="O576" s="93" t="s">
        <v>40</v>
      </c>
      <c r="P576" s="87">
        <f t="shared" si="211"/>
        <v>0</v>
      </c>
      <c r="Q576" s="93" t="s">
        <v>40</v>
      </c>
      <c r="R576" s="94">
        <f t="shared" si="212"/>
        <v>0</v>
      </c>
      <c r="S576" s="94">
        <f t="shared" si="200"/>
        <v>0</v>
      </c>
    </row>
    <row r="577" spans="1:19" s="89" customFormat="1">
      <c r="A577" s="145" t="s">
        <v>365</v>
      </c>
      <c r="B577" s="89" t="s">
        <v>25</v>
      </c>
      <c r="C577" s="87"/>
      <c r="D577" s="90" t="s">
        <v>40</v>
      </c>
      <c r="E577" s="91"/>
      <c r="F577" s="92">
        <v>1</v>
      </c>
      <c r="G577" s="93" t="s">
        <v>20</v>
      </c>
      <c r="H577" s="92">
        <v>144</v>
      </c>
      <c r="I577" s="93" t="s">
        <v>40</v>
      </c>
      <c r="J577" s="94">
        <v>13800</v>
      </c>
      <c r="K577" s="90" t="s">
        <v>40</v>
      </c>
      <c r="L577" s="95"/>
      <c r="M577" s="95">
        <v>0.17</v>
      </c>
      <c r="N577" s="92"/>
      <c r="O577" s="93" t="s">
        <v>40</v>
      </c>
      <c r="P577" s="87">
        <f t="shared" si="211"/>
        <v>0</v>
      </c>
      <c r="Q577" s="93" t="s">
        <v>40</v>
      </c>
      <c r="R577" s="94">
        <f t="shared" si="212"/>
        <v>0</v>
      </c>
      <c r="S577" s="94">
        <f t="shared" si="200"/>
        <v>0</v>
      </c>
    </row>
    <row r="578" spans="1:19" s="89" customFormat="1">
      <c r="A578" s="145" t="s">
        <v>366</v>
      </c>
      <c r="B578" s="89" t="s">
        <v>25</v>
      </c>
      <c r="C578" s="87"/>
      <c r="D578" s="90" t="s">
        <v>40</v>
      </c>
      <c r="E578" s="91"/>
      <c r="F578" s="92">
        <v>1</v>
      </c>
      <c r="G578" s="93" t="s">
        <v>20</v>
      </c>
      <c r="H578" s="92">
        <v>144</v>
      </c>
      <c r="I578" s="93" t="s">
        <v>40</v>
      </c>
      <c r="J578" s="94">
        <f>1987200/144</f>
        <v>13800</v>
      </c>
      <c r="K578" s="90" t="s">
        <v>40</v>
      </c>
      <c r="L578" s="95"/>
      <c r="M578" s="95">
        <v>0.17</v>
      </c>
      <c r="N578" s="92"/>
      <c r="O578" s="93" t="s">
        <v>40</v>
      </c>
      <c r="P578" s="87">
        <f t="shared" si="211"/>
        <v>0</v>
      </c>
      <c r="Q578" s="93" t="s">
        <v>40</v>
      </c>
      <c r="R578" s="94">
        <f t="shared" si="212"/>
        <v>0</v>
      </c>
      <c r="S578" s="94">
        <f t="shared" si="200"/>
        <v>0</v>
      </c>
    </row>
    <row r="579" spans="1:19" s="19" customFormat="1">
      <c r="A579" s="49" t="s">
        <v>367</v>
      </c>
      <c r="B579" s="19" t="s">
        <v>25</v>
      </c>
      <c r="C579" s="20">
        <v>108</v>
      </c>
      <c r="D579" s="21" t="s">
        <v>40</v>
      </c>
      <c r="E579" s="26"/>
      <c r="F579" s="22">
        <v>1</v>
      </c>
      <c r="G579" s="23" t="s">
        <v>20</v>
      </c>
      <c r="H579" s="22">
        <v>144</v>
      </c>
      <c r="I579" s="23" t="s">
        <v>40</v>
      </c>
      <c r="J579" s="24">
        <f>2073600/12/12</f>
        <v>14400</v>
      </c>
      <c r="K579" s="21" t="s">
        <v>40</v>
      </c>
      <c r="L579" s="25"/>
      <c r="M579" s="25">
        <v>0.17</v>
      </c>
      <c r="N579" s="22"/>
      <c r="O579" s="23" t="s">
        <v>40</v>
      </c>
      <c r="P579" s="20">
        <f t="shared" si="211"/>
        <v>108</v>
      </c>
      <c r="Q579" s="23" t="s">
        <v>40</v>
      </c>
      <c r="R579" s="24">
        <f t="shared" si="212"/>
        <v>1290816</v>
      </c>
      <c r="S579" s="24">
        <f t="shared" si="200"/>
        <v>1162897.2972972973</v>
      </c>
    </row>
    <row r="580" spans="1:19" s="19" customFormat="1">
      <c r="A580" s="49"/>
      <c r="C580" s="20"/>
      <c r="D580" s="21"/>
      <c r="E580" s="26"/>
      <c r="F580" s="22"/>
      <c r="G580" s="23"/>
      <c r="H580" s="22"/>
      <c r="I580" s="23"/>
      <c r="J580" s="24"/>
      <c r="K580" s="21"/>
      <c r="L580" s="25"/>
      <c r="M580" s="25"/>
      <c r="N580" s="22"/>
      <c r="O580" s="23"/>
      <c r="P580" s="20"/>
      <c r="Q580" s="23"/>
      <c r="R580" s="24"/>
      <c r="S580" s="24"/>
    </row>
    <row r="581" spans="1:19" s="19" customFormat="1">
      <c r="A581" s="71" t="s">
        <v>368</v>
      </c>
      <c r="C581" s="20"/>
      <c r="D581" s="21"/>
      <c r="E581" s="26"/>
      <c r="F581" s="22"/>
      <c r="G581" s="23"/>
      <c r="H581" s="22"/>
      <c r="I581" s="23"/>
      <c r="J581" s="24"/>
      <c r="K581" s="21"/>
      <c r="L581" s="25"/>
      <c r="M581" s="25"/>
      <c r="N581" s="22"/>
      <c r="O581" s="23"/>
      <c r="P581" s="20"/>
      <c r="Q581" s="23"/>
      <c r="R581" s="24"/>
      <c r="S581" s="24"/>
    </row>
    <row r="582" spans="1:19" s="19" customFormat="1">
      <c r="A582" s="18" t="s">
        <v>369</v>
      </c>
      <c r="B582" s="19" t="s">
        <v>182</v>
      </c>
      <c r="C582" s="20">
        <v>2109</v>
      </c>
      <c r="D582" s="21" t="s">
        <v>40</v>
      </c>
      <c r="E582" s="26"/>
      <c r="F582" s="22">
        <v>1</v>
      </c>
      <c r="G582" s="23" t="s">
        <v>20</v>
      </c>
      <c r="H582" s="22">
        <v>240</v>
      </c>
      <c r="I582" s="23" t="s">
        <v>40</v>
      </c>
      <c r="J582" s="24">
        <v>10000</v>
      </c>
      <c r="K582" s="21" t="s">
        <v>40</v>
      </c>
      <c r="L582" s="25"/>
      <c r="M582" s="25"/>
      <c r="N582" s="22"/>
      <c r="O582" s="23" t="s">
        <v>40</v>
      </c>
      <c r="P582" s="20">
        <f>(C582+(E582*F582*H582))-N582</f>
        <v>2109</v>
      </c>
      <c r="Q582" s="23" t="s">
        <v>40</v>
      </c>
      <c r="R582" s="24">
        <f>P582*(J582-(J582*L582)-((J582-(J582*L582))*M582))</f>
        <v>21090000</v>
      </c>
      <c r="S582" s="24">
        <f t="shared" si="200"/>
        <v>19000000</v>
      </c>
    </row>
    <row r="583" spans="1:19" s="19" customFormat="1">
      <c r="A583" s="18" t="s">
        <v>370</v>
      </c>
      <c r="B583" s="19" t="s">
        <v>182</v>
      </c>
      <c r="C583" s="20">
        <v>1472</v>
      </c>
      <c r="D583" s="21" t="s">
        <v>40</v>
      </c>
      <c r="E583" s="26"/>
      <c r="F583" s="22">
        <v>1</v>
      </c>
      <c r="G583" s="23" t="s">
        <v>20</v>
      </c>
      <c r="H583" s="22">
        <v>240</v>
      </c>
      <c r="I583" s="23" t="s">
        <v>40</v>
      </c>
      <c r="J583" s="24">
        <v>10000</v>
      </c>
      <c r="K583" s="21" t="s">
        <v>40</v>
      </c>
      <c r="L583" s="25"/>
      <c r="M583" s="25"/>
      <c r="N583" s="22"/>
      <c r="O583" s="23" t="s">
        <v>40</v>
      </c>
      <c r="P583" s="20">
        <f>(C583+(E583*F583*H583))-N583</f>
        <v>1472</v>
      </c>
      <c r="Q583" s="23" t="s">
        <v>40</v>
      </c>
      <c r="R583" s="24">
        <f>P583*(J583-(J583*L583)-((J583-(J583*L583))*M583))</f>
        <v>14720000</v>
      </c>
      <c r="S583" s="24">
        <f t="shared" si="200"/>
        <v>13261261.26126126</v>
      </c>
    </row>
    <row r="584" spans="1:19" s="19" customFormat="1">
      <c r="A584" s="18" t="s">
        <v>371</v>
      </c>
      <c r="B584" s="19" t="s">
        <v>182</v>
      </c>
      <c r="C584" s="20">
        <v>1145</v>
      </c>
      <c r="D584" s="21" t="s">
        <v>40</v>
      </c>
      <c r="E584" s="26"/>
      <c r="F584" s="22">
        <v>1</v>
      </c>
      <c r="G584" s="23" t="s">
        <v>20</v>
      </c>
      <c r="H584" s="22">
        <v>240</v>
      </c>
      <c r="I584" s="23" t="s">
        <v>40</v>
      </c>
      <c r="J584" s="24">
        <v>10000</v>
      </c>
      <c r="K584" s="21" t="s">
        <v>40</v>
      </c>
      <c r="L584" s="25"/>
      <c r="M584" s="25"/>
      <c r="N584" s="22"/>
      <c r="O584" s="23" t="s">
        <v>40</v>
      </c>
      <c r="P584" s="20">
        <f>(C584+(E584*F584*H584))-N584</f>
        <v>1145</v>
      </c>
      <c r="Q584" s="23" t="s">
        <v>40</v>
      </c>
      <c r="R584" s="24">
        <f>P584*(J584-(J584*L584)-((J584-(J584*L584))*M584))</f>
        <v>11450000</v>
      </c>
      <c r="S584" s="24">
        <f t="shared" si="200"/>
        <v>10315315.315315314</v>
      </c>
    </row>
    <row r="585" spans="1:19" s="19" customFormat="1">
      <c r="A585" s="18" t="s">
        <v>372</v>
      </c>
      <c r="B585" s="19" t="s">
        <v>182</v>
      </c>
      <c r="C585" s="20">
        <v>19</v>
      </c>
      <c r="D585" s="21" t="s">
        <v>40</v>
      </c>
      <c r="E585" s="26"/>
      <c r="F585" s="22">
        <v>1</v>
      </c>
      <c r="G585" s="23" t="s">
        <v>20</v>
      </c>
      <c r="H585" s="22">
        <v>240</v>
      </c>
      <c r="I585" s="23" t="s">
        <v>40</v>
      </c>
      <c r="J585" s="24">
        <v>10000</v>
      </c>
      <c r="K585" s="21" t="s">
        <v>40</v>
      </c>
      <c r="L585" s="25"/>
      <c r="M585" s="25"/>
      <c r="N585" s="22"/>
      <c r="O585" s="23" t="s">
        <v>40</v>
      </c>
      <c r="P585" s="20">
        <f>(C585+(E585*F585*H585))-N585</f>
        <v>19</v>
      </c>
      <c r="Q585" s="23" t="s">
        <v>40</v>
      </c>
      <c r="R585" s="24">
        <f>P585*(J585-(J585*L585)-((J585-(J585*L585))*M585))</f>
        <v>190000</v>
      </c>
      <c r="S585" s="24">
        <f t="shared" si="200"/>
        <v>171171.17117117115</v>
      </c>
    </row>
    <row r="586" spans="1:19" s="19" customFormat="1">
      <c r="A586" s="18"/>
      <c r="C586" s="20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19" s="89" customFormat="1">
      <c r="A587" s="88" t="s">
        <v>402</v>
      </c>
      <c r="B587" s="89" t="s">
        <v>261</v>
      </c>
      <c r="C587" s="87"/>
      <c r="D587" s="90" t="s">
        <v>40</v>
      </c>
      <c r="E587" s="91"/>
      <c r="F587" s="92">
        <v>1</v>
      </c>
      <c r="G587" s="93" t="s">
        <v>20</v>
      </c>
      <c r="H587" s="92">
        <v>120</v>
      </c>
      <c r="I587" s="93" t="s">
        <v>40</v>
      </c>
      <c r="J587" s="94">
        <v>25500</v>
      </c>
      <c r="K587" s="90" t="s">
        <v>40</v>
      </c>
      <c r="L587" s="95"/>
      <c r="M587" s="95"/>
      <c r="N587" s="92"/>
      <c r="O587" s="93" t="s">
        <v>40</v>
      </c>
      <c r="P587" s="87">
        <f>(C587+(E587*F587*H587))-N587</f>
        <v>0</v>
      </c>
      <c r="Q587" s="93" t="s">
        <v>40</v>
      </c>
      <c r="R587" s="94">
        <f>P587*(J587-(J587*L587)-((J587-(J587*L587))*M587))</f>
        <v>0</v>
      </c>
      <c r="S587" s="94">
        <f>R587/1.11</f>
        <v>0</v>
      </c>
    </row>
    <row r="588" spans="1:19" s="89" customFormat="1">
      <c r="A588" s="88" t="s">
        <v>743</v>
      </c>
      <c r="B588" s="89" t="s">
        <v>261</v>
      </c>
      <c r="C588" s="87"/>
      <c r="D588" s="90" t="s">
        <v>40</v>
      </c>
      <c r="E588" s="91"/>
      <c r="F588" s="92">
        <v>1</v>
      </c>
      <c r="G588" s="93" t="s">
        <v>20</v>
      </c>
      <c r="H588" s="92">
        <v>120</v>
      </c>
      <c r="I588" s="93" t="s">
        <v>40</v>
      </c>
      <c r="J588" s="94">
        <v>19000</v>
      </c>
      <c r="K588" s="90" t="s">
        <v>40</v>
      </c>
      <c r="L588" s="95"/>
      <c r="M588" s="95"/>
      <c r="N588" s="92"/>
      <c r="O588" s="93" t="s">
        <v>40</v>
      </c>
      <c r="P588" s="87">
        <f>(C588+(E588*F588*H588))-N588</f>
        <v>0</v>
      </c>
      <c r="Q588" s="93" t="s">
        <v>40</v>
      </c>
      <c r="R588" s="94">
        <f>P588*(J588-(J588*L588)-((J588-(J588*L588))*M588))</f>
        <v>0</v>
      </c>
      <c r="S588" s="94">
        <f t="shared" ref="S588" si="213">R588/1.11</f>
        <v>0</v>
      </c>
    </row>
    <row r="589" spans="1:19" s="19" customFormat="1">
      <c r="A589" s="18"/>
      <c r="C589" s="20"/>
      <c r="D589" s="21"/>
      <c r="E589" s="26"/>
      <c r="F589" s="22"/>
      <c r="G589" s="23"/>
      <c r="H589" s="22"/>
      <c r="I589" s="23"/>
      <c r="J589" s="24"/>
      <c r="K589" s="21"/>
      <c r="L589" s="25"/>
      <c r="M589" s="25"/>
      <c r="N589" s="22"/>
      <c r="O589" s="23"/>
      <c r="P589" s="20"/>
      <c r="Q589" s="23"/>
      <c r="R589" s="24"/>
      <c r="S589" s="24"/>
    </row>
    <row r="590" spans="1:19" s="89" customFormat="1">
      <c r="A590" s="88" t="s">
        <v>373</v>
      </c>
      <c r="B590" s="89" t="s">
        <v>18</v>
      </c>
      <c r="C590" s="87"/>
      <c r="D590" s="90" t="s">
        <v>40</v>
      </c>
      <c r="E590" s="91"/>
      <c r="F590" s="92">
        <v>1</v>
      </c>
      <c r="G590" s="93" t="s">
        <v>20</v>
      </c>
      <c r="H590" s="92">
        <v>144</v>
      </c>
      <c r="I590" s="93" t="s">
        <v>40</v>
      </c>
      <c r="J590" s="94">
        <v>19800</v>
      </c>
      <c r="K590" s="90" t="s">
        <v>40</v>
      </c>
      <c r="L590" s="95">
        <v>0.125</v>
      </c>
      <c r="M590" s="95">
        <v>0.05</v>
      </c>
      <c r="N590" s="92"/>
      <c r="O590" s="93" t="s">
        <v>40</v>
      </c>
      <c r="P590" s="87">
        <f t="shared" ref="P590:P606" si="214">(C590+(E590*F590*H590))-N590</f>
        <v>0</v>
      </c>
      <c r="Q590" s="93" t="s">
        <v>40</v>
      </c>
      <c r="R590" s="94">
        <f t="shared" ref="R590:R606" si="215">P590*(J590-(J590*L590)-((J590-(J590*L590))*M590))</f>
        <v>0</v>
      </c>
      <c r="S590" s="94">
        <f t="shared" si="200"/>
        <v>0</v>
      </c>
    </row>
    <row r="591" spans="1:19" s="89" customFormat="1">
      <c r="A591" s="88" t="s">
        <v>374</v>
      </c>
      <c r="B591" s="89" t="s">
        <v>18</v>
      </c>
      <c r="C591" s="87"/>
      <c r="D591" s="90" t="s">
        <v>40</v>
      </c>
      <c r="E591" s="91"/>
      <c r="F591" s="92">
        <v>1</v>
      </c>
      <c r="G591" s="93" t="s">
        <v>20</v>
      </c>
      <c r="H591" s="92">
        <v>144</v>
      </c>
      <c r="I591" s="93" t="s">
        <v>40</v>
      </c>
      <c r="J591" s="94">
        <v>20400</v>
      </c>
      <c r="K591" s="90" t="s">
        <v>40</v>
      </c>
      <c r="L591" s="95">
        <v>0.125</v>
      </c>
      <c r="M591" s="95">
        <v>0.05</v>
      </c>
      <c r="N591" s="92"/>
      <c r="O591" s="93" t="s">
        <v>40</v>
      </c>
      <c r="P591" s="87">
        <f t="shared" si="214"/>
        <v>0</v>
      </c>
      <c r="Q591" s="93" t="s">
        <v>40</v>
      </c>
      <c r="R591" s="94">
        <f t="shared" si="215"/>
        <v>0</v>
      </c>
      <c r="S591" s="94">
        <f t="shared" si="200"/>
        <v>0</v>
      </c>
    </row>
    <row r="592" spans="1:19" s="89" customFormat="1">
      <c r="A592" s="145" t="s">
        <v>659</v>
      </c>
      <c r="B592" s="89" t="s">
        <v>18</v>
      </c>
      <c r="C592" s="87"/>
      <c r="D592" s="90" t="s">
        <v>40</v>
      </c>
      <c r="E592" s="91"/>
      <c r="F592" s="92">
        <v>1</v>
      </c>
      <c r="G592" s="93" t="s">
        <v>20</v>
      </c>
      <c r="H592" s="92">
        <v>144</v>
      </c>
      <c r="I592" s="93" t="s">
        <v>40</v>
      </c>
      <c r="J592" s="94">
        <v>69600</v>
      </c>
      <c r="K592" s="90" t="s">
        <v>40</v>
      </c>
      <c r="L592" s="95">
        <v>0.125</v>
      </c>
      <c r="M592" s="95">
        <v>0.05</v>
      </c>
      <c r="N592" s="92"/>
      <c r="O592" s="93" t="s">
        <v>40</v>
      </c>
      <c r="P592" s="87">
        <f t="shared" si="214"/>
        <v>0</v>
      </c>
      <c r="Q592" s="93" t="s">
        <v>40</v>
      </c>
      <c r="R592" s="94">
        <f t="shared" si="215"/>
        <v>0</v>
      </c>
      <c r="S592" s="94">
        <f t="shared" si="200"/>
        <v>0</v>
      </c>
    </row>
    <row r="593" spans="1:19" s="89" customFormat="1">
      <c r="A593" s="145" t="s">
        <v>790</v>
      </c>
      <c r="B593" s="89" t="s">
        <v>18</v>
      </c>
      <c r="C593" s="87"/>
      <c r="D593" s="90" t="s">
        <v>40</v>
      </c>
      <c r="E593" s="91"/>
      <c r="F593" s="92">
        <v>1</v>
      </c>
      <c r="G593" s="93" t="s">
        <v>20</v>
      </c>
      <c r="H593" s="92">
        <v>144</v>
      </c>
      <c r="I593" s="93" t="s">
        <v>40</v>
      </c>
      <c r="J593" s="94">
        <v>32400</v>
      </c>
      <c r="K593" s="90" t="s">
        <v>40</v>
      </c>
      <c r="L593" s="95">
        <v>0.125</v>
      </c>
      <c r="M593" s="95">
        <v>0.05</v>
      </c>
      <c r="N593" s="92"/>
      <c r="O593" s="93" t="s">
        <v>40</v>
      </c>
      <c r="P593" s="87">
        <f t="shared" si="214"/>
        <v>0</v>
      </c>
      <c r="Q593" s="93" t="s">
        <v>40</v>
      </c>
      <c r="R593" s="94">
        <f t="shared" si="215"/>
        <v>0</v>
      </c>
      <c r="S593" s="94">
        <f t="shared" si="200"/>
        <v>0</v>
      </c>
    </row>
    <row r="594" spans="1:19" s="89" customFormat="1">
      <c r="A594" s="145" t="s">
        <v>375</v>
      </c>
      <c r="B594" s="89" t="s">
        <v>18</v>
      </c>
      <c r="C594" s="87"/>
      <c r="D594" s="90" t="s">
        <v>40</v>
      </c>
      <c r="E594" s="91"/>
      <c r="F594" s="92">
        <v>1</v>
      </c>
      <c r="G594" s="93" t="s">
        <v>20</v>
      </c>
      <c r="H594" s="92">
        <v>144</v>
      </c>
      <c r="I594" s="93" t="s">
        <v>40</v>
      </c>
      <c r="J594" s="94">
        <v>27000</v>
      </c>
      <c r="K594" s="90" t="s">
        <v>40</v>
      </c>
      <c r="L594" s="95">
        <v>0.125</v>
      </c>
      <c r="M594" s="95">
        <v>0.05</v>
      </c>
      <c r="N594" s="92"/>
      <c r="O594" s="93" t="s">
        <v>40</v>
      </c>
      <c r="P594" s="87">
        <f t="shared" si="214"/>
        <v>0</v>
      </c>
      <c r="Q594" s="93" t="s">
        <v>40</v>
      </c>
      <c r="R594" s="94">
        <f t="shared" si="215"/>
        <v>0</v>
      </c>
      <c r="S594" s="94">
        <f t="shared" si="200"/>
        <v>0</v>
      </c>
    </row>
    <row r="595" spans="1:19" s="89" customFormat="1">
      <c r="A595" s="145" t="s">
        <v>715</v>
      </c>
      <c r="B595" s="89" t="s">
        <v>18</v>
      </c>
      <c r="C595" s="87"/>
      <c r="D595" s="90" t="s">
        <v>40</v>
      </c>
      <c r="E595" s="91"/>
      <c r="F595" s="92">
        <v>1</v>
      </c>
      <c r="G595" s="93" t="s">
        <v>20</v>
      </c>
      <c r="H595" s="92">
        <v>144</v>
      </c>
      <c r="I595" s="93" t="s">
        <v>40</v>
      </c>
      <c r="J595" s="94">
        <v>21600</v>
      </c>
      <c r="K595" s="90" t="s">
        <v>40</v>
      </c>
      <c r="L595" s="95">
        <v>0.125</v>
      </c>
      <c r="M595" s="95">
        <v>0.05</v>
      </c>
      <c r="N595" s="92"/>
      <c r="O595" s="93" t="s">
        <v>40</v>
      </c>
      <c r="P595" s="87">
        <f t="shared" si="214"/>
        <v>0</v>
      </c>
      <c r="Q595" s="93" t="s">
        <v>40</v>
      </c>
      <c r="R595" s="94">
        <f t="shared" si="215"/>
        <v>0</v>
      </c>
      <c r="S595" s="94">
        <f t="shared" ref="S595:S666" si="216">R595/1.11</f>
        <v>0</v>
      </c>
    </row>
    <row r="596" spans="1:19" s="89" customFormat="1">
      <c r="A596" s="145" t="s">
        <v>376</v>
      </c>
      <c r="B596" s="89" t="s">
        <v>18</v>
      </c>
      <c r="C596" s="87"/>
      <c r="D596" s="90" t="s">
        <v>40</v>
      </c>
      <c r="E596" s="91"/>
      <c r="F596" s="92">
        <v>1</v>
      </c>
      <c r="G596" s="93" t="s">
        <v>20</v>
      </c>
      <c r="H596" s="92">
        <v>144</v>
      </c>
      <c r="I596" s="93" t="s">
        <v>40</v>
      </c>
      <c r="J596" s="94">
        <v>43200</v>
      </c>
      <c r="K596" s="90" t="s">
        <v>40</v>
      </c>
      <c r="L596" s="95">
        <v>0.125</v>
      </c>
      <c r="M596" s="95">
        <v>0.05</v>
      </c>
      <c r="N596" s="92"/>
      <c r="O596" s="93" t="s">
        <v>40</v>
      </c>
      <c r="P596" s="87">
        <f t="shared" si="214"/>
        <v>0</v>
      </c>
      <c r="Q596" s="93" t="s">
        <v>40</v>
      </c>
      <c r="R596" s="94">
        <f t="shared" si="215"/>
        <v>0</v>
      </c>
      <c r="S596" s="94">
        <f t="shared" si="216"/>
        <v>0</v>
      </c>
    </row>
    <row r="597" spans="1:19" s="89" customFormat="1">
      <c r="A597" s="145" t="s">
        <v>377</v>
      </c>
      <c r="B597" s="89" t="s">
        <v>18</v>
      </c>
      <c r="C597" s="87"/>
      <c r="D597" s="90" t="s">
        <v>40</v>
      </c>
      <c r="E597" s="91"/>
      <c r="F597" s="92">
        <v>1</v>
      </c>
      <c r="G597" s="93" t="s">
        <v>20</v>
      </c>
      <c r="H597" s="92">
        <v>144</v>
      </c>
      <c r="I597" s="93" t="s">
        <v>40</v>
      </c>
      <c r="J597" s="94">
        <v>22800</v>
      </c>
      <c r="K597" s="90" t="s">
        <v>40</v>
      </c>
      <c r="L597" s="95">
        <v>0.125</v>
      </c>
      <c r="M597" s="95">
        <v>0.05</v>
      </c>
      <c r="N597" s="92"/>
      <c r="O597" s="93" t="s">
        <v>40</v>
      </c>
      <c r="P597" s="87">
        <f t="shared" si="214"/>
        <v>0</v>
      </c>
      <c r="Q597" s="93" t="s">
        <v>40</v>
      </c>
      <c r="R597" s="94">
        <f t="shared" si="215"/>
        <v>0</v>
      </c>
      <c r="S597" s="94">
        <f t="shared" si="216"/>
        <v>0</v>
      </c>
    </row>
    <row r="598" spans="1:19" s="19" customFormat="1">
      <c r="A598" s="149" t="s">
        <v>378</v>
      </c>
      <c r="B598" s="32" t="s">
        <v>18</v>
      </c>
      <c r="C598" s="33"/>
      <c r="D598" s="34" t="s">
        <v>40</v>
      </c>
      <c r="E598" s="35">
        <v>1</v>
      </c>
      <c r="F598" s="36">
        <v>1</v>
      </c>
      <c r="G598" s="37" t="s">
        <v>20</v>
      </c>
      <c r="H598" s="36">
        <v>144</v>
      </c>
      <c r="I598" s="37" t="s">
        <v>40</v>
      </c>
      <c r="J598" s="38">
        <v>28200</v>
      </c>
      <c r="K598" s="34" t="s">
        <v>40</v>
      </c>
      <c r="L598" s="39">
        <v>0.125</v>
      </c>
      <c r="M598" s="39">
        <v>0.05</v>
      </c>
      <c r="N598" s="36"/>
      <c r="O598" s="150" t="s">
        <v>40</v>
      </c>
      <c r="P598" s="33">
        <f t="shared" ref="P598:P599" si="217">(C598+(E598*F598*H598))-N598</f>
        <v>144</v>
      </c>
      <c r="Q598" s="37" t="s">
        <v>40</v>
      </c>
      <c r="R598" s="38">
        <f t="shared" ref="R598:R599" si="218">P598*(J598-(J598*L598)-((J598-(J598*L598))*M598))</f>
        <v>3375540</v>
      </c>
      <c r="S598" s="38">
        <f t="shared" ref="S598:S599" si="219">R598/1.11</f>
        <v>3041027.0270270268</v>
      </c>
    </row>
    <row r="599" spans="1:19" s="19" customFormat="1">
      <c r="A599" s="149" t="s">
        <v>378</v>
      </c>
      <c r="B599" s="32" t="s">
        <v>18</v>
      </c>
      <c r="C599" s="33">
        <v>312</v>
      </c>
      <c r="D599" s="34" t="s">
        <v>40</v>
      </c>
      <c r="E599" s="35"/>
      <c r="F599" s="36">
        <v>1</v>
      </c>
      <c r="G599" s="37" t="s">
        <v>20</v>
      </c>
      <c r="H599" s="36">
        <v>144</v>
      </c>
      <c r="I599" s="37" t="s">
        <v>40</v>
      </c>
      <c r="J599" s="38">
        <v>26400</v>
      </c>
      <c r="K599" s="34" t="s">
        <v>40</v>
      </c>
      <c r="L599" s="39">
        <v>0.125</v>
      </c>
      <c r="M599" s="39">
        <v>0.05</v>
      </c>
      <c r="N599" s="36"/>
      <c r="O599" s="150" t="s">
        <v>40</v>
      </c>
      <c r="P599" s="33">
        <f t="shared" si="217"/>
        <v>312</v>
      </c>
      <c r="Q599" s="37" t="s">
        <v>40</v>
      </c>
      <c r="R599" s="38">
        <f t="shared" si="218"/>
        <v>6846840</v>
      </c>
      <c r="S599" s="38">
        <f t="shared" si="219"/>
        <v>6168324.3243243238</v>
      </c>
    </row>
    <row r="600" spans="1:19" s="19" customFormat="1">
      <c r="A600" s="149" t="s">
        <v>873</v>
      </c>
      <c r="B600" s="32" t="s">
        <v>18</v>
      </c>
      <c r="C600" s="33">
        <v>351</v>
      </c>
      <c r="D600" s="34" t="s">
        <v>40</v>
      </c>
      <c r="E600" s="35"/>
      <c r="F600" s="36">
        <v>1</v>
      </c>
      <c r="G600" s="37" t="s">
        <v>20</v>
      </c>
      <c r="H600" s="36">
        <v>144</v>
      </c>
      <c r="I600" s="37" t="s">
        <v>40</v>
      </c>
      <c r="J600" s="38"/>
      <c r="K600" s="34" t="s">
        <v>40</v>
      </c>
      <c r="L600" s="39">
        <v>0.125</v>
      </c>
      <c r="M600" s="39">
        <v>0.05</v>
      </c>
      <c r="N600" s="36"/>
      <c r="O600" s="150" t="s">
        <v>40</v>
      </c>
      <c r="P600" s="33">
        <f t="shared" si="214"/>
        <v>351</v>
      </c>
      <c r="Q600" s="37" t="s">
        <v>40</v>
      </c>
      <c r="R600" s="38">
        <f t="shared" si="215"/>
        <v>0</v>
      </c>
      <c r="S600" s="38">
        <f t="shared" si="216"/>
        <v>0</v>
      </c>
    </row>
    <row r="601" spans="1:19" s="19" customFormat="1">
      <c r="A601" s="49" t="s">
        <v>379</v>
      </c>
      <c r="B601" s="19" t="s">
        <v>18</v>
      </c>
      <c r="C601" s="20">
        <v>233</v>
      </c>
      <c r="D601" s="21" t="s">
        <v>40</v>
      </c>
      <c r="E601" s="26">
        <v>3</v>
      </c>
      <c r="F601" s="22">
        <v>1</v>
      </c>
      <c r="G601" s="23" t="s">
        <v>20</v>
      </c>
      <c r="H601" s="22">
        <v>144</v>
      </c>
      <c r="I601" s="23" t="s">
        <v>40</v>
      </c>
      <c r="J601" s="24">
        <v>27600</v>
      </c>
      <c r="K601" s="21" t="s">
        <v>40</v>
      </c>
      <c r="L601" s="25">
        <v>0.125</v>
      </c>
      <c r="M601" s="25">
        <v>0.05</v>
      </c>
      <c r="N601" s="22"/>
      <c r="O601" s="23" t="s">
        <v>40</v>
      </c>
      <c r="P601" s="20">
        <f t="shared" si="214"/>
        <v>665</v>
      </c>
      <c r="Q601" s="23" t="s">
        <v>40</v>
      </c>
      <c r="R601" s="24">
        <f t="shared" si="215"/>
        <v>15256762.5</v>
      </c>
      <c r="S601" s="24">
        <f t="shared" si="216"/>
        <v>13744831.081081079</v>
      </c>
    </row>
    <row r="602" spans="1:19" s="80" customFormat="1">
      <c r="A602" s="145" t="s">
        <v>380</v>
      </c>
      <c r="B602" s="80" t="s">
        <v>18</v>
      </c>
      <c r="C602" s="81"/>
      <c r="D602" s="82" t="s">
        <v>40</v>
      </c>
      <c r="E602" s="83"/>
      <c r="F602" s="84">
        <v>1</v>
      </c>
      <c r="G602" s="85" t="s">
        <v>20</v>
      </c>
      <c r="H602" s="84">
        <v>144</v>
      </c>
      <c r="I602" s="85" t="s">
        <v>40</v>
      </c>
      <c r="J602" s="16">
        <v>25800</v>
      </c>
      <c r="K602" s="82" t="s">
        <v>40</v>
      </c>
      <c r="L602" s="86">
        <v>0.125</v>
      </c>
      <c r="M602" s="86">
        <v>0.05</v>
      </c>
      <c r="N602" s="84"/>
      <c r="O602" s="85" t="s">
        <v>40</v>
      </c>
      <c r="P602" s="81">
        <f t="shared" si="214"/>
        <v>0</v>
      </c>
      <c r="Q602" s="85" t="s">
        <v>40</v>
      </c>
      <c r="R602" s="16">
        <f t="shared" si="215"/>
        <v>0</v>
      </c>
      <c r="S602" s="16">
        <f t="shared" si="216"/>
        <v>0</v>
      </c>
    </row>
    <row r="603" spans="1:19">
      <c r="A603" s="17" t="s">
        <v>381</v>
      </c>
      <c r="B603" s="2" t="s">
        <v>18</v>
      </c>
      <c r="D603" s="4" t="s">
        <v>40</v>
      </c>
      <c r="E603" s="5">
        <v>5</v>
      </c>
      <c r="F603" s="6">
        <v>1</v>
      </c>
      <c r="G603" s="7" t="s">
        <v>20</v>
      </c>
      <c r="H603" s="6">
        <v>144</v>
      </c>
      <c r="I603" s="7" t="s">
        <v>40</v>
      </c>
      <c r="J603" s="8">
        <v>14100</v>
      </c>
      <c r="K603" s="4" t="s">
        <v>40</v>
      </c>
      <c r="L603" s="9">
        <v>0.125</v>
      </c>
      <c r="M603" s="9">
        <v>0.05</v>
      </c>
      <c r="O603" s="7" t="s">
        <v>40</v>
      </c>
      <c r="P603" s="3">
        <f t="shared" si="214"/>
        <v>720</v>
      </c>
      <c r="Q603" s="7" t="s">
        <v>40</v>
      </c>
      <c r="R603" s="8">
        <f t="shared" si="215"/>
        <v>8438850</v>
      </c>
      <c r="S603" s="8">
        <f t="shared" si="216"/>
        <v>7602567.5675675673</v>
      </c>
    </row>
    <row r="604" spans="1:19" s="80" customFormat="1">
      <c r="A604" s="79" t="s">
        <v>702</v>
      </c>
      <c r="B604" s="80" t="s">
        <v>18</v>
      </c>
      <c r="C604" s="81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16">
        <v>25800</v>
      </c>
      <c r="K604" s="82" t="s">
        <v>40</v>
      </c>
      <c r="L604" s="86">
        <v>0.125</v>
      </c>
      <c r="M604" s="86">
        <v>0.05</v>
      </c>
      <c r="N604" s="84"/>
      <c r="O604" s="85" t="s">
        <v>40</v>
      </c>
      <c r="P604" s="81">
        <f t="shared" si="214"/>
        <v>0</v>
      </c>
      <c r="Q604" s="85" t="s">
        <v>40</v>
      </c>
      <c r="R604" s="16">
        <f t="shared" si="215"/>
        <v>0</v>
      </c>
      <c r="S604" s="16">
        <f t="shared" si="216"/>
        <v>0</v>
      </c>
    </row>
    <row r="605" spans="1:19">
      <c r="A605" s="17" t="s">
        <v>382</v>
      </c>
      <c r="B605" s="2" t="s">
        <v>18</v>
      </c>
      <c r="C605" s="3">
        <v>432</v>
      </c>
      <c r="D605" s="4" t="s">
        <v>40</v>
      </c>
      <c r="E605" s="5">
        <v>4</v>
      </c>
      <c r="F605" s="6">
        <v>1</v>
      </c>
      <c r="G605" s="7" t="s">
        <v>20</v>
      </c>
      <c r="H605" s="6">
        <v>144</v>
      </c>
      <c r="I605" s="7" t="s">
        <v>40</v>
      </c>
      <c r="J605" s="8">
        <v>20400</v>
      </c>
      <c r="K605" s="4" t="s">
        <v>40</v>
      </c>
      <c r="L605" s="9">
        <v>0.125</v>
      </c>
      <c r="M605" s="9">
        <v>0.05</v>
      </c>
      <c r="O605" s="7" t="s">
        <v>40</v>
      </c>
      <c r="P605" s="3">
        <f t="shared" si="214"/>
        <v>1008</v>
      </c>
      <c r="Q605" s="7" t="s">
        <v>40</v>
      </c>
      <c r="R605" s="8">
        <f t="shared" si="215"/>
        <v>17093160</v>
      </c>
      <c r="S605" s="8">
        <f t="shared" si="216"/>
        <v>15399243.243243242</v>
      </c>
    </row>
    <row r="606" spans="1:19" s="80" customFormat="1">
      <c r="A606" s="79" t="s">
        <v>799</v>
      </c>
      <c r="B606" s="80" t="s">
        <v>18</v>
      </c>
      <c r="C606" s="81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16">
        <v>17400</v>
      </c>
      <c r="K606" s="82" t="s">
        <v>40</v>
      </c>
      <c r="L606" s="86">
        <v>0.125</v>
      </c>
      <c r="M606" s="86">
        <v>0.1</v>
      </c>
      <c r="N606" s="84"/>
      <c r="O606" s="85" t="s">
        <v>40</v>
      </c>
      <c r="P606" s="81">
        <f t="shared" si="214"/>
        <v>0</v>
      </c>
      <c r="Q606" s="85" t="s">
        <v>40</v>
      </c>
      <c r="R606" s="16">
        <f t="shared" si="215"/>
        <v>0</v>
      </c>
      <c r="S606" s="16">
        <f t="shared" si="216"/>
        <v>0</v>
      </c>
    </row>
    <row r="608" spans="1:19" s="80" customFormat="1">
      <c r="A608" s="79" t="s">
        <v>383</v>
      </c>
      <c r="B608" s="80" t="s">
        <v>25</v>
      </c>
      <c r="C608" s="87"/>
      <c r="D608" s="82" t="s">
        <v>40</v>
      </c>
      <c r="E608" s="83"/>
      <c r="F608" s="84">
        <v>1</v>
      </c>
      <c r="G608" s="85" t="s">
        <v>20</v>
      </c>
      <c r="H608" s="84">
        <v>144</v>
      </c>
      <c r="I608" s="85" t="s">
        <v>40</v>
      </c>
      <c r="J608" s="16">
        <v>25200</v>
      </c>
      <c r="K608" s="82" t="s">
        <v>40</v>
      </c>
      <c r="L608" s="86"/>
      <c r="M608" s="86">
        <v>0.17</v>
      </c>
      <c r="N608" s="84"/>
      <c r="O608" s="85" t="s">
        <v>40</v>
      </c>
      <c r="P608" s="81">
        <f t="shared" ref="P608:P635" si="220">(C608+(E608*F608*H608))-N608</f>
        <v>0</v>
      </c>
      <c r="Q608" s="85" t="s">
        <v>40</v>
      </c>
      <c r="R608" s="16">
        <f t="shared" ref="R608:R635" si="221">P608*(J608-(J608*L608)-((J608-(J608*L608))*M608))</f>
        <v>0</v>
      </c>
      <c r="S608" s="16">
        <f t="shared" si="216"/>
        <v>0</v>
      </c>
    </row>
    <row r="609" spans="1:19">
      <c r="A609" s="17" t="s">
        <v>675</v>
      </c>
      <c r="B609" s="2" t="s">
        <v>25</v>
      </c>
      <c r="C609" s="3">
        <v>432</v>
      </c>
      <c r="D609" s="4" t="s">
        <v>40</v>
      </c>
      <c r="E609" s="5">
        <v>2</v>
      </c>
      <c r="F609" s="6">
        <v>1</v>
      </c>
      <c r="G609" s="7" t="s">
        <v>20</v>
      </c>
      <c r="H609" s="6">
        <v>144</v>
      </c>
      <c r="I609" s="7" t="s">
        <v>40</v>
      </c>
      <c r="J609" s="8">
        <f>3758400/144</f>
        <v>26100</v>
      </c>
      <c r="K609" s="4" t="s">
        <v>40</v>
      </c>
      <c r="M609" s="9">
        <v>0.17</v>
      </c>
      <c r="O609" s="7" t="s">
        <v>40</v>
      </c>
      <c r="P609" s="3">
        <f t="shared" si="220"/>
        <v>720</v>
      </c>
      <c r="Q609" s="7" t="s">
        <v>40</v>
      </c>
      <c r="R609" s="8">
        <f t="shared" si="221"/>
        <v>15597360</v>
      </c>
      <c r="S609" s="8">
        <f t="shared" si="216"/>
        <v>14051675.675675675</v>
      </c>
    </row>
    <row r="610" spans="1:19">
      <c r="A610" s="17" t="s">
        <v>384</v>
      </c>
      <c r="B610" s="2" t="s">
        <v>25</v>
      </c>
      <c r="C610" s="3">
        <v>60</v>
      </c>
      <c r="D610" s="4" t="s">
        <v>40</v>
      </c>
      <c r="F610" s="6">
        <v>1</v>
      </c>
      <c r="G610" s="7" t="s">
        <v>20</v>
      </c>
      <c r="H610" s="6">
        <v>144</v>
      </c>
      <c r="I610" s="7" t="s">
        <v>40</v>
      </c>
      <c r="J610" s="8">
        <f>3715200/144</f>
        <v>25800</v>
      </c>
      <c r="K610" s="4" t="s">
        <v>40</v>
      </c>
      <c r="M610" s="9">
        <v>0.17</v>
      </c>
      <c r="O610" s="7" t="s">
        <v>40</v>
      </c>
      <c r="P610" s="3">
        <f t="shared" si="220"/>
        <v>60</v>
      </c>
      <c r="Q610" s="7" t="s">
        <v>40</v>
      </c>
      <c r="R610" s="8">
        <f t="shared" si="221"/>
        <v>1284840</v>
      </c>
      <c r="S610" s="8">
        <f t="shared" si="216"/>
        <v>1157513.5135135134</v>
      </c>
    </row>
    <row r="611" spans="1:19" s="80" customFormat="1">
      <c r="A611" s="79" t="s">
        <v>395</v>
      </c>
      <c r="B611" s="80" t="s">
        <v>25</v>
      </c>
      <c r="C611" s="87"/>
      <c r="D611" s="82" t="s">
        <v>40</v>
      </c>
      <c r="E611" s="83"/>
      <c r="F611" s="84">
        <v>1</v>
      </c>
      <c r="G611" s="85" t="s">
        <v>20</v>
      </c>
      <c r="H611" s="84">
        <v>144</v>
      </c>
      <c r="I611" s="85" t="s">
        <v>40</v>
      </c>
      <c r="J611" s="16">
        <v>25800</v>
      </c>
      <c r="K611" s="82" t="s">
        <v>40</v>
      </c>
      <c r="L611" s="86"/>
      <c r="M611" s="86">
        <v>0.17</v>
      </c>
      <c r="N611" s="84"/>
      <c r="O611" s="85" t="s">
        <v>40</v>
      </c>
      <c r="P611" s="81">
        <f t="shared" si="220"/>
        <v>0</v>
      </c>
      <c r="Q611" s="85" t="s">
        <v>40</v>
      </c>
      <c r="R611" s="16">
        <f t="shared" si="221"/>
        <v>0</v>
      </c>
      <c r="S611" s="16">
        <f>R611/1.11</f>
        <v>0</v>
      </c>
    </row>
    <row r="612" spans="1:19">
      <c r="A612" s="49" t="s">
        <v>779</v>
      </c>
      <c r="B612" s="2" t="s">
        <v>25</v>
      </c>
      <c r="C612" s="3">
        <v>288</v>
      </c>
      <c r="D612" s="4" t="s">
        <v>40</v>
      </c>
      <c r="F612" s="6">
        <v>1</v>
      </c>
      <c r="G612" s="7" t="s">
        <v>20</v>
      </c>
      <c r="H612" s="6">
        <v>144</v>
      </c>
      <c r="I612" s="7" t="s">
        <v>40</v>
      </c>
      <c r="J612" s="8">
        <f>3628800/144</f>
        <v>25200</v>
      </c>
      <c r="K612" s="4" t="s">
        <v>40</v>
      </c>
      <c r="M612" s="9">
        <v>0.17</v>
      </c>
      <c r="O612" s="7" t="s">
        <v>40</v>
      </c>
      <c r="P612" s="3">
        <f t="shared" si="220"/>
        <v>288</v>
      </c>
      <c r="Q612" s="7" t="s">
        <v>40</v>
      </c>
      <c r="R612" s="8">
        <f t="shared" si="221"/>
        <v>6023808</v>
      </c>
      <c r="S612" s="8">
        <f t="shared" ref="S612" si="222">R612/1.11</f>
        <v>5426854.0540540535</v>
      </c>
    </row>
    <row r="613" spans="1:19">
      <c r="A613" s="49" t="s">
        <v>385</v>
      </c>
      <c r="B613" s="2" t="s">
        <v>25</v>
      </c>
      <c r="C613" s="3">
        <f>21408/12</f>
        <v>1784</v>
      </c>
      <c r="D613" s="4" t="s">
        <v>40</v>
      </c>
      <c r="E613" s="5">
        <v>30</v>
      </c>
      <c r="F613" s="6">
        <v>1</v>
      </c>
      <c r="G613" s="7" t="s">
        <v>20</v>
      </c>
      <c r="H613" s="6">
        <v>144</v>
      </c>
      <c r="I613" s="7" t="s">
        <v>40</v>
      </c>
      <c r="J613" s="8">
        <f>3758400/144</f>
        <v>26100</v>
      </c>
      <c r="K613" s="4" t="s">
        <v>40</v>
      </c>
      <c r="M613" s="9">
        <v>0.17</v>
      </c>
      <c r="O613" s="7" t="s">
        <v>40</v>
      </c>
      <c r="P613" s="3">
        <f t="shared" si="220"/>
        <v>6104</v>
      </c>
      <c r="Q613" s="7" t="s">
        <v>40</v>
      </c>
      <c r="R613" s="8">
        <f t="shared" si="221"/>
        <v>132230952</v>
      </c>
      <c r="S613" s="8">
        <f t="shared" si="216"/>
        <v>119126983.78378378</v>
      </c>
    </row>
    <row r="614" spans="1:19" s="80" customFormat="1">
      <c r="A614" s="145" t="s">
        <v>386</v>
      </c>
      <c r="B614" s="80" t="s">
        <v>25</v>
      </c>
      <c r="C614" s="87"/>
      <c r="D614" s="82" t="s">
        <v>40</v>
      </c>
      <c r="E614" s="83"/>
      <c r="F614" s="84">
        <v>1</v>
      </c>
      <c r="G614" s="85" t="s">
        <v>20</v>
      </c>
      <c r="H614" s="84">
        <v>144</v>
      </c>
      <c r="I614" s="85" t="s">
        <v>40</v>
      </c>
      <c r="J614" s="16">
        <f>3628800/144</f>
        <v>25200</v>
      </c>
      <c r="K614" s="82" t="s">
        <v>40</v>
      </c>
      <c r="L614" s="86"/>
      <c r="M614" s="86">
        <v>0.17</v>
      </c>
      <c r="N614" s="84"/>
      <c r="O614" s="85" t="s">
        <v>40</v>
      </c>
      <c r="P614" s="81">
        <f t="shared" si="220"/>
        <v>0</v>
      </c>
      <c r="Q614" s="85" t="s">
        <v>40</v>
      </c>
      <c r="R614" s="16">
        <f t="shared" si="221"/>
        <v>0</v>
      </c>
      <c r="S614" s="16">
        <f t="shared" si="216"/>
        <v>0</v>
      </c>
    </row>
    <row r="615" spans="1:19" s="80" customFormat="1">
      <c r="A615" s="145" t="s">
        <v>387</v>
      </c>
      <c r="B615" s="80" t="s">
        <v>25</v>
      </c>
      <c r="C615" s="87"/>
      <c r="D615" s="82" t="s">
        <v>40</v>
      </c>
      <c r="E615" s="83"/>
      <c r="F615" s="84">
        <v>1</v>
      </c>
      <c r="G615" s="85" t="s">
        <v>20</v>
      </c>
      <c r="H615" s="84">
        <v>144</v>
      </c>
      <c r="I615" s="85" t="s">
        <v>40</v>
      </c>
      <c r="J615" s="16">
        <f>3628800/144</f>
        <v>25200</v>
      </c>
      <c r="K615" s="82" t="s">
        <v>40</v>
      </c>
      <c r="L615" s="86"/>
      <c r="M615" s="86">
        <v>0.17</v>
      </c>
      <c r="N615" s="84"/>
      <c r="O615" s="85" t="s">
        <v>40</v>
      </c>
      <c r="P615" s="81">
        <f t="shared" si="220"/>
        <v>0</v>
      </c>
      <c r="Q615" s="85" t="s">
        <v>40</v>
      </c>
      <c r="R615" s="16">
        <f t="shared" si="221"/>
        <v>0</v>
      </c>
      <c r="S615" s="16">
        <f t="shared" si="216"/>
        <v>0</v>
      </c>
    </row>
    <row r="616" spans="1:19" s="89" customFormat="1">
      <c r="A616" s="88" t="s">
        <v>874</v>
      </c>
      <c r="B616" s="89" t="s">
        <v>25</v>
      </c>
      <c r="C616" s="151"/>
      <c r="D616" s="90" t="s">
        <v>40</v>
      </c>
      <c r="E616" s="91"/>
      <c r="F616" s="92">
        <v>1</v>
      </c>
      <c r="G616" s="93" t="s">
        <v>20</v>
      </c>
      <c r="H616" s="92">
        <v>144</v>
      </c>
      <c r="I616" s="93" t="s">
        <v>40</v>
      </c>
      <c r="J616" s="94">
        <f>5875200/144</f>
        <v>40800</v>
      </c>
      <c r="K616" s="90" t="s">
        <v>40</v>
      </c>
      <c r="L616" s="95"/>
      <c r="M616" s="95">
        <v>0.17</v>
      </c>
      <c r="N616" s="92"/>
      <c r="O616" s="93" t="s">
        <v>40</v>
      </c>
      <c r="P616" s="87">
        <f t="shared" si="220"/>
        <v>0</v>
      </c>
      <c r="Q616" s="93" t="s">
        <v>40</v>
      </c>
      <c r="R616" s="94">
        <f t="shared" si="221"/>
        <v>0</v>
      </c>
      <c r="S616" s="94">
        <f t="shared" si="216"/>
        <v>0</v>
      </c>
    </row>
    <row r="617" spans="1:19" s="19" customFormat="1">
      <c r="A617" s="31" t="s">
        <v>388</v>
      </c>
      <c r="B617" s="32" t="s">
        <v>25</v>
      </c>
      <c r="C617" s="33"/>
      <c r="D617" s="34" t="s">
        <v>40</v>
      </c>
      <c r="E617" s="35">
        <v>123</v>
      </c>
      <c r="F617" s="36">
        <v>1</v>
      </c>
      <c r="G617" s="37" t="s">
        <v>20</v>
      </c>
      <c r="H617" s="36">
        <v>144</v>
      </c>
      <c r="I617" s="37" t="s">
        <v>40</v>
      </c>
      <c r="J617" s="38">
        <f>5616000/144</f>
        <v>39000</v>
      </c>
      <c r="K617" s="34" t="s">
        <v>40</v>
      </c>
      <c r="L617" s="39">
        <v>2.5000000000000001E-2</v>
      </c>
      <c r="M617" s="39">
        <v>0.17</v>
      </c>
      <c r="N617" s="36"/>
      <c r="O617" s="37" t="s">
        <v>40</v>
      </c>
      <c r="P617" s="33">
        <f t="shared" ref="P617" si="223">(C617+(E617*F617*H617))-N617</f>
        <v>17712</v>
      </c>
      <c r="Q617" s="37" t="s">
        <v>40</v>
      </c>
      <c r="R617" s="38">
        <f t="shared" ref="R617" si="224">P617*(J617-(J617*L617)-((J617-(J617*L617))*M617))</f>
        <v>559004004</v>
      </c>
      <c r="S617" s="38">
        <f t="shared" ref="S617" si="225">R617/1.11</f>
        <v>503607210.81081074</v>
      </c>
    </row>
    <row r="618" spans="1:19" s="19" customFormat="1">
      <c r="A618" s="31" t="s">
        <v>388</v>
      </c>
      <c r="B618" s="32" t="s">
        <v>25</v>
      </c>
      <c r="C618" s="33">
        <v>1965</v>
      </c>
      <c r="D618" s="34" t="s">
        <v>40</v>
      </c>
      <c r="E618" s="35">
        <v>37</v>
      </c>
      <c r="F618" s="36">
        <v>1</v>
      </c>
      <c r="G618" s="37" t="s">
        <v>20</v>
      </c>
      <c r="H618" s="36">
        <v>144</v>
      </c>
      <c r="I618" s="37" t="s">
        <v>40</v>
      </c>
      <c r="J618" s="38">
        <f>5616000/144</f>
        <v>39000</v>
      </c>
      <c r="K618" s="34" t="s">
        <v>40</v>
      </c>
      <c r="L618" s="39"/>
      <c r="M618" s="39">
        <v>0.17</v>
      </c>
      <c r="N618" s="36"/>
      <c r="O618" s="37" t="s">
        <v>40</v>
      </c>
      <c r="P618" s="33">
        <f t="shared" si="220"/>
        <v>7293</v>
      </c>
      <c r="Q618" s="37" t="s">
        <v>40</v>
      </c>
      <c r="R618" s="38">
        <f t="shared" si="221"/>
        <v>236074410</v>
      </c>
      <c r="S618" s="38">
        <f t="shared" si="216"/>
        <v>212679648.64864862</v>
      </c>
    </row>
    <row r="619" spans="1:19" s="106" customFormat="1">
      <c r="A619" s="98" t="s">
        <v>389</v>
      </c>
      <c r="B619" s="106" t="s">
        <v>25</v>
      </c>
      <c r="C619" s="107"/>
      <c r="D619" s="108" t="s">
        <v>40</v>
      </c>
      <c r="E619" s="109">
        <v>58</v>
      </c>
      <c r="F619" s="110">
        <v>1</v>
      </c>
      <c r="G619" s="111" t="s">
        <v>20</v>
      </c>
      <c r="H619" s="110">
        <v>144</v>
      </c>
      <c r="I619" s="111" t="s">
        <v>40</v>
      </c>
      <c r="J619" s="112">
        <v>39000</v>
      </c>
      <c r="K619" s="108" t="s">
        <v>40</v>
      </c>
      <c r="L619" s="113">
        <v>2.5000000000000001E-2</v>
      </c>
      <c r="M619" s="113">
        <v>0.17</v>
      </c>
      <c r="N619" s="110"/>
      <c r="O619" s="111" t="s">
        <v>40</v>
      </c>
      <c r="P619" s="107">
        <f t="shared" ref="P619" si="226">(C619+(E619*F619*H619))-N619</f>
        <v>8352</v>
      </c>
      <c r="Q619" s="111" t="s">
        <v>40</v>
      </c>
      <c r="R619" s="112">
        <f t="shared" ref="R619" si="227">P619*(J619-(J619*L619)-((J619-(J619*L619))*M619))</f>
        <v>263595384</v>
      </c>
      <c r="S619" s="112">
        <f t="shared" ref="S619" si="228">R619/1.11</f>
        <v>237473318.91891891</v>
      </c>
    </row>
    <row r="620" spans="1:19" s="106" customFormat="1">
      <c r="A620" s="98" t="s">
        <v>877</v>
      </c>
      <c r="B620" s="106" t="s">
        <v>25</v>
      </c>
      <c r="C620" s="107"/>
      <c r="D620" s="108" t="s">
        <v>40</v>
      </c>
      <c r="E620" s="109">
        <v>1</v>
      </c>
      <c r="F620" s="110">
        <v>1</v>
      </c>
      <c r="G620" s="111" t="s">
        <v>20</v>
      </c>
      <c r="H620" s="110">
        <v>144</v>
      </c>
      <c r="I620" s="111" t="s">
        <v>40</v>
      </c>
      <c r="J620" s="112">
        <v>39000</v>
      </c>
      <c r="K620" s="108" t="s">
        <v>40</v>
      </c>
      <c r="L620" s="113"/>
      <c r="M620" s="113">
        <v>0.17</v>
      </c>
      <c r="N620" s="110"/>
      <c r="O620" s="111" t="s">
        <v>40</v>
      </c>
      <c r="P620" s="107">
        <f t="shared" si="220"/>
        <v>144</v>
      </c>
      <c r="Q620" s="111" t="s">
        <v>40</v>
      </c>
      <c r="R620" s="112">
        <f t="shared" ref="R620" si="229">P620*(J620-(J620*L620)-((J620-(J620*L620))*M620))</f>
        <v>4661280</v>
      </c>
      <c r="S620" s="112">
        <f t="shared" ref="S620" si="230">R620/1.11</f>
        <v>4199351.3513513505</v>
      </c>
    </row>
    <row r="621" spans="1:19" s="19" customFormat="1">
      <c r="A621" s="18" t="s">
        <v>390</v>
      </c>
      <c r="B621" s="19" t="s">
        <v>25</v>
      </c>
      <c r="C621" s="20">
        <v>537</v>
      </c>
      <c r="D621" s="21" t="s">
        <v>40</v>
      </c>
      <c r="E621" s="26"/>
      <c r="F621" s="22">
        <v>1</v>
      </c>
      <c r="G621" s="23" t="s">
        <v>20</v>
      </c>
      <c r="H621" s="22">
        <v>144</v>
      </c>
      <c r="I621" s="23" t="s">
        <v>40</v>
      </c>
      <c r="J621" s="24">
        <f>5356800/144</f>
        <v>37200</v>
      </c>
      <c r="K621" s="21" t="s">
        <v>40</v>
      </c>
      <c r="L621" s="25"/>
      <c r="M621" s="25">
        <v>0.17</v>
      </c>
      <c r="N621" s="22"/>
      <c r="O621" s="23" t="s">
        <v>40</v>
      </c>
      <c r="P621" s="20">
        <f t="shared" si="220"/>
        <v>537</v>
      </c>
      <c r="Q621" s="23" t="s">
        <v>40</v>
      </c>
      <c r="R621" s="24">
        <f t="shared" si="221"/>
        <v>16580412</v>
      </c>
      <c r="S621" s="24">
        <f t="shared" si="216"/>
        <v>14937308.108108107</v>
      </c>
    </row>
    <row r="622" spans="1:19" s="19" customFormat="1">
      <c r="A622" s="18" t="s">
        <v>747</v>
      </c>
      <c r="B622" s="19" t="s">
        <v>25</v>
      </c>
      <c r="C622" s="20">
        <v>566</v>
      </c>
      <c r="D622" s="21" t="s">
        <v>40</v>
      </c>
      <c r="E622" s="26">
        <v>2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f>5702400/144</f>
        <v>39600</v>
      </c>
      <c r="K622" s="21" t="s">
        <v>40</v>
      </c>
      <c r="L622" s="25"/>
      <c r="M622" s="25">
        <v>0.17</v>
      </c>
      <c r="N622" s="22"/>
      <c r="O622" s="23" t="s">
        <v>40</v>
      </c>
      <c r="P622" s="20">
        <f t="shared" si="220"/>
        <v>854</v>
      </c>
      <c r="Q622" s="23" t="s">
        <v>40</v>
      </c>
      <c r="R622" s="24">
        <f t="shared" si="221"/>
        <v>28069272</v>
      </c>
      <c r="S622" s="24">
        <f t="shared" si="216"/>
        <v>25287632.432432432</v>
      </c>
    </row>
    <row r="623" spans="1:19" s="19" customFormat="1">
      <c r="A623" s="18" t="s">
        <v>748</v>
      </c>
      <c r="B623" s="19" t="s">
        <v>25</v>
      </c>
      <c r="C623" s="57"/>
      <c r="D623" s="21" t="s">
        <v>40</v>
      </c>
      <c r="E623" s="26">
        <v>1</v>
      </c>
      <c r="F623" s="22">
        <v>1</v>
      </c>
      <c r="G623" s="23" t="s">
        <v>20</v>
      </c>
      <c r="H623" s="22">
        <v>144</v>
      </c>
      <c r="I623" s="23" t="s">
        <v>40</v>
      </c>
      <c r="J623" s="24">
        <f>5702400/144</f>
        <v>39600</v>
      </c>
      <c r="K623" s="21" t="s">
        <v>40</v>
      </c>
      <c r="L623" s="25"/>
      <c r="M623" s="25">
        <v>0.17</v>
      </c>
      <c r="N623" s="22"/>
      <c r="O623" s="23" t="s">
        <v>40</v>
      </c>
      <c r="P623" s="20">
        <f t="shared" si="220"/>
        <v>144</v>
      </c>
      <c r="Q623" s="23" t="s">
        <v>40</v>
      </c>
      <c r="R623" s="24">
        <f t="shared" si="221"/>
        <v>4732992</v>
      </c>
      <c r="S623" s="24">
        <f t="shared" si="216"/>
        <v>4263956.7567567565</v>
      </c>
    </row>
    <row r="624" spans="1:19" s="19" customFormat="1">
      <c r="A624" s="18" t="s">
        <v>391</v>
      </c>
      <c r="B624" s="19" t="s">
        <v>25</v>
      </c>
      <c r="C624" s="20">
        <v>318</v>
      </c>
      <c r="D624" s="21" t="s">
        <v>40</v>
      </c>
      <c r="E624" s="26">
        <v>13</v>
      </c>
      <c r="F624" s="22">
        <v>1</v>
      </c>
      <c r="G624" s="23" t="s">
        <v>20</v>
      </c>
      <c r="H624" s="22">
        <v>144</v>
      </c>
      <c r="I624" s="23" t="s">
        <v>40</v>
      </c>
      <c r="J624" s="24">
        <f>5702400/144</f>
        <v>39600</v>
      </c>
      <c r="K624" s="21" t="s">
        <v>40</v>
      </c>
      <c r="L624" s="25"/>
      <c r="M624" s="25">
        <v>0.17</v>
      </c>
      <c r="N624" s="22"/>
      <c r="O624" s="23" t="s">
        <v>40</v>
      </c>
      <c r="P624" s="20">
        <f t="shared" si="220"/>
        <v>2190</v>
      </c>
      <c r="Q624" s="23" t="s">
        <v>40</v>
      </c>
      <c r="R624" s="24">
        <f t="shared" si="221"/>
        <v>71980920</v>
      </c>
      <c r="S624" s="24">
        <f t="shared" si="216"/>
        <v>64847675.675675668</v>
      </c>
    </row>
    <row r="625" spans="1:19">
      <c r="A625" s="17" t="s">
        <v>392</v>
      </c>
      <c r="B625" s="2" t="s">
        <v>25</v>
      </c>
      <c r="C625" s="3">
        <v>738</v>
      </c>
      <c r="D625" s="4" t="s">
        <v>40</v>
      </c>
      <c r="E625" s="5">
        <v>7</v>
      </c>
      <c r="F625" s="6">
        <v>1</v>
      </c>
      <c r="G625" s="7" t="s">
        <v>20</v>
      </c>
      <c r="H625" s="6">
        <v>144</v>
      </c>
      <c r="I625" s="7" t="s">
        <v>40</v>
      </c>
      <c r="J625" s="8">
        <f>2764800/144</f>
        <v>19200</v>
      </c>
      <c r="K625" s="4" t="s">
        <v>40</v>
      </c>
      <c r="M625" s="9">
        <v>0.17</v>
      </c>
      <c r="O625" s="7" t="s">
        <v>40</v>
      </c>
      <c r="P625" s="3">
        <f t="shared" si="220"/>
        <v>1746</v>
      </c>
      <c r="Q625" s="7" t="s">
        <v>40</v>
      </c>
      <c r="R625" s="8">
        <f t="shared" si="221"/>
        <v>27824256</v>
      </c>
      <c r="S625" s="8">
        <f t="shared" si="216"/>
        <v>25066897.297297295</v>
      </c>
    </row>
    <row r="626" spans="1:19" s="80" customFormat="1">
      <c r="A626" s="79" t="s">
        <v>393</v>
      </c>
      <c r="B626" s="80" t="s">
        <v>25</v>
      </c>
      <c r="C626" s="81"/>
      <c r="D626" s="82" t="s">
        <v>40</v>
      </c>
      <c r="E626" s="83"/>
      <c r="F626" s="84">
        <v>1</v>
      </c>
      <c r="G626" s="85" t="s">
        <v>20</v>
      </c>
      <c r="H626" s="84">
        <v>144</v>
      </c>
      <c r="I626" s="85" t="s">
        <v>40</v>
      </c>
      <c r="J626" s="16">
        <f>2764800/144</f>
        <v>19200</v>
      </c>
      <c r="K626" s="82" t="s">
        <v>40</v>
      </c>
      <c r="L626" s="86"/>
      <c r="M626" s="86">
        <v>0.17</v>
      </c>
      <c r="N626" s="84"/>
      <c r="O626" s="85" t="s">
        <v>40</v>
      </c>
      <c r="P626" s="81">
        <f t="shared" si="220"/>
        <v>0</v>
      </c>
      <c r="Q626" s="85" t="s">
        <v>40</v>
      </c>
      <c r="R626" s="16">
        <f t="shared" si="221"/>
        <v>0</v>
      </c>
      <c r="S626" s="16">
        <f t="shared" si="216"/>
        <v>0</v>
      </c>
    </row>
    <row r="627" spans="1:19" s="80" customFormat="1">
      <c r="A627" s="79" t="s">
        <v>394</v>
      </c>
      <c r="B627" s="80" t="s">
        <v>25</v>
      </c>
      <c r="C627" s="81"/>
      <c r="D627" s="82" t="s">
        <v>40</v>
      </c>
      <c r="E627" s="83"/>
      <c r="F627" s="84">
        <v>1</v>
      </c>
      <c r="G627" s="85" t="s">
        <v>20</v>
      </c>
      <c r="H627" s="84">
        <v>144</v>
      </c>
      <c r="I627" s="85" t="s">
        <v>40</v>
      </c>
      <c r="J627" s="16">
        <v>23400</v>
      </c>
      <c r="K627" s="82" t="s">
        <v>40</v>
      </c>
      <c r="L627" s="86"/>
      <c r="M627" s="86">
        <v>0.17</v>
      </c>
      <c r="N627" s="84"/>
      <c r="O627" s="85" t="s">
        <v>40</v>
      </c>
      <c r="P627" s="81">
        <f t="shared" si="220"/>
        <v>0</v>
      </c>
      <c r="Q627" s="85" t="s">
        <v>40</v>
      </c>
      <c r="R627" s="16">
        <f t="shared" si="221"/>
        <v>0</v>
      </c>
      <c r="S627" s="16">
        <f t="shared" si="216"/>
        <v>0</v>
      </c>
    </row>
    <row r="628" spans="1:19" s="19" customFormat="1">
      <c r="A628" s="18" t="s">
        <v>396</v>
      </c>
      <c r="B628" s="19" t="s">
        <v>25</v>
      </c>
      <c r="C628" s="20">
        <v>423</v>
      </c>
      <c r="D628" s="21" t="s">
        <v>40</v>
      </c>
      <c r="E628" s="26">
        <v>3</v>
      </c>
      <c r="F628" s="22">
        <v>1</v>
      </c>
      <c r="G628" s="23" t="s">
        <v>20</v>
      </c>
      <c r="H628" s="22">
        <v>144</v>
      </c>
      <c r="I628" s="23" t="s">
        <v>40</v>
      </c>
      <c r="J628" s="24">
        <f>3542400/144</f>
        <v>24600</v>
      </c>
      <c r="K628" s="21" t="s">
        <v>40</v>
      </c>
      <c r="L628" s="25"/>
      <c r="M628" s="25">
        <v>0.17</v>
      </c>
      <c r="N628" s="22"/>
      <c r="O628" s="23" t="s">
        <v>40</v>
      </c>
      <c r="P628" s="20">
        <f t="shared" si="220"/>
        <v>855</v>
      </c>
      <c r="Q628" s="23" t="s">
        <v>40</v>
      </c>
      <c r="R628" s="24">
        <f t="shared" si="221"/>
        <v>17457390</v>
      </c>
      <c r="S628" s="24">
        <f t="shared" si="216"/>
        <v>15727378.378378376</v>
      </c>
    </row>
    <row r="629" spans="1:19" s="19" customFormat="1">
      <c r="A629" s="18" t="s">
        <v>397</v>
      </c>
      <c r="B629" s="19" t="s">
        <v>25</v>
      </c>
      <c r="C629" s="20">
        <v>2721</v>
      </c>
      <c r="D629" s="21" t="s">
        <v>40</v>
      </c>
      <c r="E629" s="26">
        <v>50</v>
      </c>
      <c r="F629" s="22">
        <v>1</v>
      </c>
      <c r="G629" s="23" t="s">
        <v>20</v>
      </c>
      <c r="H629" s="22">
        <v>144</v>
      </c>
      <c r="I629" s="23" t="s">
        <v>40</v>
      </c>
      <c r="J629" s="24">
        <f>3110400/144</f>
        <v>21600</v>
      </c>
      <c r="K629" s="21" t="s">
        <v>40</v>
      </c>
      <c r="L629" s="25"/>
      <c r="M629" s="25">
        <v>0.17</v>
      </c>
      <c r="N629" s="22"/>
      <c r="O629" s="23" t="s">
        <v>40</v>
      </c>
      <c r="P629" s="20">
        <f t="shared" si="220"/>
        <v>9921</v>
      </c>
      <c r="Q629" s="23" t="s">
        <v>40</v>
      </c>
      <c r="R629" s="24">
        <f t="shared" si="221"/>
        <v>177863688</v>
      </c>
      <c r="S629" s="24">
        <f t="shared" si="216"/>
        <v>160237556.75675675</v>
      </c>
    </row>
    <row r="630" spans="1:19" s="19" customFormat="1">
      <c r="A630" s="18" t="s">
        <v>781</v>
      </c>
      <c r="B630" s="19" t="s">
        <v>25</v>
      </c>
      <c r="C630" s="20"/>
      <c r="D630" s="21" t="s">
        <v>40</v>
      </c>
      <c r="E630" s="26">
        <v>5</v>
      </c>
      <c r="F630" s="22">
        <v>1</v>
      </c>
      <c r="G630" s="23" t="s">
        <v>20</v>
      </c>
      <c r="H630" s="22">
        <v>144</v>
      </c>
      <c r="I630" s="23" t="s">
        <v>40</v>
      </c>
      <c r="J630" s="24">
        <f>3456000/144</f>
        <v>24000</v>
      </c>
      <c r="K630" s="21" t="s">
        <v>40</v>
      </c>
      <c r="L630" s="25"/>
      <c r="M630" s="25">
        <v>0.17</v>
      </c>
      <c r="N630" s="22"/>
      <c r="O630" s="23" t="s">
        <v>40</v>
      </c>
      <c r="P630" s="20">
        <f t="shared" si="220"/>
        <v>720</v>
      </c>
      <c r="Q630" s="23" t="s">
        <v>40</v>
      </c>
      <c r="R630" s="24">
        <f t="shared" si="221"/>
        <v>14342400</v>
      </c>
      <c r="S630" s="24">
        <f t="shared" si="216"/>
        <v>12921081.081081079</v>
      </c>
    </row>
    <row r="631" spans="1:19" s="19" customFormat="1">
      <c r="A631" s="18" t="s">
        <v>398</v>
      </c>
      <c r="B631" s="19" t="s">
        <v>25</v>
      </c>
      <c r="C631" s="20">
        <v>576</v>
      </c>
      <c r="D631" s="21" t="s">
        <v>40</v>
      </c>
      <c r="E631" s="26">
        <v>5</v>
      </c>
      <c r="F631" s="22">
        <v>1</v>
      </c>
      <c r="G631" s="23" t="s">
        <v>20</v>
      </c>
      <c r="H631" s="22">
        <v>144</v>
      </c>
      <c r="I631" s="23" t="s">
        <v>40</v>
      </c>
      <c r="J631" s="24">
        <f>3758400/144</f>
        <v>26100</v>
      </c>
      <c r="K631" s="21" t="s">
        <v>40</v>
      </c>
      <c r="L631" s="25"/>
      <c r="M631" s="25">
        <v>0.17</v>
      </c>
      <c r="N631" s="22"/>
      <c r="O631" s="23" t="s">
        <v>40</v>
      </c>
      <c r="P631" s="20">
        <f t="shared" si="220"/>
        <v>1296</v>
      </c>
      <c r="Q631" s="23" t="s">
        <v>40</v>
      </c>
      <c r="R631" s="24">
        <f t="shared" si="221"/>
        <v>28075248</v>
      </c>
      <c r="S631" s="24">
        <f t="shared" si="216"/>
        <v>25293016.216216214</v>
      </c>
    </row>
    <row r="632" spans="1:19" s="19" customFormat="1">
      <c r="A632" s="18" t="s">
        <v>710</v>
      </c>
      <c r="B632" s="19" t="s">
        <v>25</v>
      </c>
      <c r="C632" s="20">
        <v>27</v>
      </c>
      <c r="D632" s="21" t="s">
        <v>40</v>
      </c>
      <c r="E632" s="26"/>
      <c r="F632" s="22">
        <v>1</v>
      </c>
      <c r="G632" s="23" t="s">
        <v>20</v>
      </c>
      <c r="H632" s="22">
        <v>144</v>
      </c>
      <c r="I632" s="23" t="s">
        <v>40</v>
      </c>
      <c r="J632" s="24">
        <f>5616000/144</f>
        <v>39000</v>
      </c>
      <c r="K632" s="21" t="s">
        <v>40</v>
      </c>
      <c r="L632" s="25"/>
      <c r="M632" s="25">
        <v>0.17</v>
      </c>
      <c r="N632" s="22"/>
      <c r="O632" s="23" t="s">
        <v>40</v>
      </c>
      <c r="P632" s="20">
        <f t="shared" si="220"/>
        <v>27</v>
      </c>
      <c r="Q632" s="23" t="s">
        <v>40</v>
      </c>
      <c r="R632" s="24">
        <f t="shared" si="221"/>
        <v>873990</v>
      </c>
      <c r="S632" s="24">
        <f t="shared" si="216"/>
        <v>787378.37837837834</v>
      </c>
    </row>
    <row r="633" spans="1:19" s="19" customFormat="1">
      <c r="A633" s="18" t="s">
        <v>399</v>
      </c>
      <c r="B633" s="19" t="s">
        <v>25</v>
      </c>
      <c r="C633" s="20"/>
      <c r="D633" s="21" t="s">
        <v>40</v>
      </c>
      <c r="E633" s="26">
        <v>2</v>
      </c>
      <c r="F633" s="22">
        <v>1</v>
      </c>
      <c r="G633" s="23" t="s">
        <v>20</v>
      </c>
      <c r="H633" s="22">
        <v>144</v>
      </c>
      <c r="I633" s="23" t="s">
        <v>40</v>
      </c>
      <c r="J633" s="24">
        <f>5270400/144</f>
        <v>36600</v>
      </c>
      <c r="K633" s="21" t="s">
        <v>40</v>
      </c>
      <c r="L633" s="25"/>
      <c r="M633" s="25">
        <v>0.17</v>
      </c>
      <c r="N633" s="22"/>
      <c r="O633" s="23" t="s">
        <v>40</v>
      </c>
      <c r="P633" s="20">
        <f t="shared" si="220"/>
        <v>288</v>
      </c>
      <c r="Q633" s="23" t="s">
        <v>40</v>
      </c>
      <c r="R633" s="24">
        <f t="shared" si="221"/>
        <v>8748864</v>
      </c>
      <c r="S633" s="24">
        <f t="shared" si="216"/>
        <v>7881859.4594594585</v>
      </c>
    </row>
    <row r="634" spans="1:19" s="89" customFormat="1">
      <c r="A634" s="88" t="s">
        <v>400</v>
      </c>
      <c r="B634" s="89" t="s">
        <v>25</v>
      </c>
      <c r="C634" s="87"/>
      <c r="D634" s="90" t="s">
        <v>40</v>
      </c>
      <c r="E634" s="91"/>
      <c r="F634" s="92">
        <v>1</v>
      </c>
      <c r="G634" s="93" t="s">
        <v>20</v>
      </c>
      <c r="H634" s="92">
        <v>144</v>
      </c>
      <c r="I634" s="93" t="s">
        <v>40</v>
      </c>
      <c r="J634" s="94">
        <f>5616000/144</f>
        <v>39000</v>
      </c>
      <c r="K634" s="90" t="s">
        <v>40</v>
      </c>
      <c r="L634" s="95"/>
      <c r="M634" s="95">
        <v>0.17</v>
      </c>
      <c r="N634" s="92"/>
      <c r="O634" s="93" t="s">
        <v>40</v>
      </c>
      <c r="P634" s="87">
        <f t="shared" si="220"/>
        <v>0</v>
      </c>
      <c r="Q634" s="93" t="s">
        <v>40</v>
      </c>
      <c r="R634" s="94">
        <f t="shared" si="221"/>
        <v>0</v>
      </c>
      <c r="S634" s="94">
        <f t="shared" si="216"/>
        <v>0</v>
      </c>
    </row>
    <row r="635" spans="1:19">
      <c r="A635" s="17" t="s">
        <v>401</v>
      </c>
      <c r="B635" s="2" t="s">
        <v>25</v>
      </c>
      <c r="D635" s="4" t="s">
        <v>40</v>
      </c>
      <c r="E635" s="5">
        <v>2</v>
      </c>
      <c r="F635" s="6">
        <v>1</v>
      </c>
      <c r="G635" s="7" t="s">
        <v>20</v>
      </c>
      <c r="H635" s="6">
        <v>144</v>
      </c>
      <c r="I635" s="7" t="s">
        <v>40</v>
      </c>
      <c r="J635" s="8">
        <f>5616000/144</f>
        <v>39000</v>
      </c>
      <c r="K635" s="4" t="s">
        <v>40</v>
      </c>
      <c r="M635" s="9">
        <v>0.17</v>
      </c>
      <c r="O635" s="7" t="s">
        <v>40</v>
      </c>
      <c r="P635" s="3">
        <f t="shared" si="220"/>
        <v>288</v>
      </c>
      <c r="Q635" s="7" t="s">
        <v>40</v>
      </c>
      <c r="R635" s="8">
        <f t="shared" si="221"/>
        <v>9322560</v>
      </c>
      <c r="S635" s="8">
        <f t="shared" si="216"/>
        <v>8398702.7027027011</v>
      </c>
    </row>
    <row r="637" spans="1:19" s="19" customFormat="1">
      <c r="A637" s="18" t="s">
        <v>403</v>
      </c>
      <c r="B637" s="19" t="s">
        <v>261</v>
      </c>
      <c r="C637" s="20">
        <v>2304</v>
      </c>
      <c r="D637" s="21" t="s">
        <v>40</v>
      </c>
      <c r="E637" s="26"/>
      <c r="F637" s="22">
        <v>1</v>
      </c>
      <c r="G637" s="23" t="s">
        <v>20</v>
      </c>
      <c r="H637" s="22">
        <v>144</v>
      </c>
      <c r="I637" s="23" t="s">
        <v>40</v>
      </c>
      <c r="J637" s="24">
        <v>22500</v>
      </c>
      <c r="K637" s="21" t="s">
        <v>40</v>
      </c>
      <c r="L637" s="25"/>
      <c r="M637" s="25"/>
      <c r="N637" s="22"/>
      <c r="O637" s="23" t="s">
        <v>40</v>
      </c>
      <c r="P637" s="20">
        <f t="shared" ref="P637:P645" si="231">(C637+(E637*F637*H637))-N637</f>
        <v>2304</v>
      </c>
      <c r="Q637" s="23" t="s">
        <v>40</v>
      </c>
      <c r="R637" s="24">
        <f t="shared" ref="R637:R645" si="232">P637*(J637-(J637*L637)-((J637-(J637*L637))*M637))</f>
        <v>51840000</v>
      </c>
      <c r="S637" s="24">
        <f t="shared" si="216"/>
        <v>46702702.702702701</v>
      </c>
    </row>
    <row r="638" spans="1:19" s="80" customFormat="1">
      <c r="A638" s="79" t="s">
        <v>404</v>
      </c>
      <c r="B638" s="80" t="s">
        <v>261</v>
      </c>
      <c r="C638" s="81"/>
      <c r="D638" s="82" t="s">
        <v>40</v>
      </c>
      <c r="E638" s="83"/>
      <c r="F638" s="84">
        <v>1</v>
      </c>
      <c r="G638" s="85" t="s">
        <v>20</v>
      </c>
      <c r="H638" s="84">
        <v>144</v>
      </c>
      <c r="I638" s="85" t="s">
        <v>40</v>
      </c>
      <c r="J638" s="16">
        <v>26000</v>
      </c>
      <c r="K638" s="82" t="s">
        <v>40</v>
      </c>
      <c r="L638" s="86"/>
      <c r="M638" s="86"/>
      <c r="N638" s="84"/>
      <c r="O638" s="85" t="s">
        <v>40</v>
      </c>
      <c r="P638" s="81">
        <f t="shared" si="231"/>
        <v>0</v>
      </c>
      <c r="Q638" s="85" t="s">
        <v>40</v>
      </c>
      <c r="R638" s="16">
        <f t="shared" si="232"/>
        <v>0</v>
      </c>
      <c r="S638" s="16">
        <f t="shared" si="216"/>
        <v>0</v>
      </c>
    </row>
    <row r="639" spans="1:19" s="19" customFormat="1">
      <c r="A639" s="18" t="s">
        <v>405</v>
      </c>
      <c r="B639" s="19" t="s">
        <v>261</v>
      </c>
      <c r="C639" s="20">
        <v>90</v>
      </c>
      <c r="D639" s="21" t="s">
        <v>40</v>
      </c>
      <c r="E639" s="26">
        <v>10</v>
      </c>
      <c r="F639" s="22">
        <v>1</v>
      </c>
      <c r="G639" s="23" t="s">
        <v>20</v>
      </c>
      <c r="H639" s="22">
        <v>96</v>
      </c>
      <c r="I639" s="23" t="s">
        <v>40</v>
      </c>
      <c r="J639" s="24">
        <v>31500</v>
      </c>
      <c r="K639" s="21" t="s">
        <v>40</v>
      </c>
      <c r="L639" s="25"/>
      <c r="M639" s="25"/>
      <c r="N639" s="22"/>
      <c r="O639" s="23" t="s">
        <v>40</v>
      </c>
      <c r="P639" s="20">
        <f t="shared" si="231"/>
        <v>1050</v>
      </c>
      <c r="Q639" s="23" t="s">
        <v>40</v>
      </c>
      <c r="R639" s="24">
        <f t="shared" si="232"/>
        <v>33075000</v>
      </c>
      <c r="S639" s="24">
        <f t="shared" si="216"/>
        <v>29797297.297297295</v>
      </c>
    </row>
    <row r="640" spans="1:19" s="80" customFormat="1">
      <c r="A640" s="79" t="s">
        <v>716</v>
      </c>
      <c r="B640" s="80" t="s">
        <v>261</v>
      </c>
      <c r="C640" s="81"/>
      <c r="D640" s="82" t="s">
        <v>40</v>
      </c>
      <c r="E640" s="83"/>
      <c r="F640" s="84">
        <v>1</v>
      </c>
      <c r="G640" s="85" t="s">
        <v>20</v>
      </c>
      <c r="H640" s="84">
        <v>144</v>
      </c>
      <c r="I640" s="85" t="s">
        <v>40</v>
      </c>
      <c r="J640" s="16">
        <f>31818+(31818*10%)</f>
        <v>34999.800000000003</v>
      </c>
      <c r="K640" s="82" t="s">
        <v>40</v>
      </c>
      <c r="L640" s="86"/>
      <c r="M640" s="86"/>
      <c r="N640" s="84"/>
      <c r="O640" s="85" t="s">
        <v>40</v>
      </c>
      <c r="P640" s="81">
        <f t="shared" si="231"/>
        <v>0</v>
      </c>
      <c r="Q640" s="85" t="s">
        <v>40</v>
      </c>
      <c r="R640" s="16">
        <f t="shared" si="232"/>
        <v>0</v>
      </c>
      <c r="S640" s="16">
        <f t="shared" si="216"/>
        <v>0</v>
      </c>
    </row>
    <row r="641" spans="1:19" s="19" customFormat="1">
      <c r="A641" s="18" t="s">
        <v>836</v>
      </c>
      <c r="B641" s="19" t="s">
        <v>261</v>
      </c>
      <c r="C641" s="20"/>
      <c r="D641" s="21" t="s">
        <v>40</v>
      </c>
      <c r="E641" s="26">
        <v>7</v>
      </c>
      <c r="F641" s="22">
        <v>1</v>
      </c>
      <c r="G641" s="23" t="s">
        <v>20</v>
      </c>
      <c r="H641" s="22">
        <v>144</v>
      </c>
      <c r="I641" s="23" t="s">
        <v>40</v>
      </c>
      <c r="J641" s="24">
        <v>18250</v>
      </c>
      <c r="K641" s="21" t="s">
        <v>40</v>
      </c>
      <c r="L641" s="25"/>
      <c r="M641" s="25"/>
      <c r="N641" s="22"/>
      <c r="O641" s="23" t="s">
        <v>40</v>
      </c>
      <c r="P641" s="20">
        <f t="shared" ref="P641" si="233">(C641+(E641*F641*H641))-N641</f>
        <v>1008</v>
      </c>
      <c r="Q641" s="23" t="s">
        <v>40</v>
      </c>
      <c r="R641" s="24">
        <f t="shared" ref="R641" si="234">P641*(J641-(J641*L641)-((J641-(J641*L641))*M641))</f>
        <v>18396000</v>
      </c>
      <c r="S641" s="24">
        <f t="shared" ref="S641" si="235">R641/1.11</f>
        <v>16572972.972972972</v>
      </c>
    </row>
    <row r="642" spans="1:19" s="19" customFormat="1">
      <c r="A642" s="18" t="s">
        <v>836</v>
      </c>
      <c r="B642" s="19" t="s">
        <v>261</v>
      </c>
      <c r="C642" s="20">
        <f>115+69+60+144</f>
        <v>388</v>
      </c>
      <c r="D642" s="21" t="s">
        <v>40</v>
      </c>
      <c r="E642" s="26"/>
      <c r="F642" s="22">
        <v>1</v>
      </c>
      <c r="G642" s="23" t="s">
        <v>20</v>
      </c>
      <c r="H642" s="22">
        <v>144</v>
      </c>
      <c r="I642" s="23" t="s">
        <v>40</v>
      </c>
      <c r="J642" s="24">
        <v>16175</v>
      </c>
      <c r="K642" s="21" t="s">
        <v>40</v>
      </c>
      <c r="L642" s="25"/>
      <c r="M642" s="25"/>
      <c r="N642" s="22"/>
      <c r="O642" s="23" t="s">
        <v>40</v>
      </c>
      <c r="P642" s="20">
        <f>(C642+(E642*F642*H642))-N642</f>
        <v>388</v>
      </c>
      <c r="Q642" s="23" t="s">
        <v>40</v>
      </c>
      <c r="R642" s="24">
        <f>P642*(J642-(J642*L642)-((J642-(J642*L642))*M642))</f>
        <v>6275900</v>
      </c>
      <c r="S642" s="24">
        <f>R642/1.11</f>
        <v>5653963.9639639631</v>
      </c>
    </row>
    <row r="643" spans="1:19" s="19" customFormat="1">
      <c r="A643" s="18" t="s">
        <v>889</v>
      </c>
      <c r="B643" s="19" t="s">
        <v>261</v>
      </c>
      <c r="C643" s="20"/>
      <c r="D643" s="21" t="s">
        <v>40</v>
      </c>
      <c r="E643" s="26">
        <v>1</v>
      </c>
      <c r="F643" s="22">
        <v>1</v>
      </c>
      <c r="G643" s="23" t="s">
        <v>20</v>
      </c>
      <c r="H643" s="22">
        <v>72</v>
      </c>
      <c r="I643" s="23" t="s">
        <v>40</v>
      </c>
      <c r="J643" s="24">
        <v>18250</v>
      </c>
      <c r="K643" s="21" t="s">
        <v>40</v>
      </c>
      <c r="L643" s="25"/>
      <c r="M643" s="25"/>
      <c r="N643" s="22"/>
      <c r="O643" s="23" t="s">
        <v>40</v>
      </c>
      <c r="P643" s="20">
        <f>(C643+(E643*F643*H643))-N643</f>
        <v>72</v>
      </c>
      <c r="Q643" s="23" t="s">
        <v>40</v>
      </c>
      <c r="R643" s="24">
        <f>P643*(J643-(J643*L643)-((J643-(J643*L643))*M643))</f>
        <v>1314000</v>
      </c>
      <c r="S643" s="24">
        <f>R643/1.11</f>
        <v>1183783.7837837837</v>
      </c>
    </row>
    <row r="644" spans="1:19" s="19" customFormat="1">
      <c r="A644" s="18" t="s">
        <v>889</v>
      </c>
      <c r="B644" s="19" t="s">
        <v>261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72</v>
      </c>
      <c r="I644" s="23" t="s">
        <v>40</v>
      </c>
      <c r="J644" s="24">
        <v>0</v>
      </c>
      <c r="K644" s="21" t="s">
        <v>40</v>
      </c>
      <c r="L644" s="25"/>
      <c r="M644" s="25"/>
      <c r="N644" s="22"/>
      <c r="O644" s="23" t="s">
        <v>40</v>
      </c>
      <c r="P644" s="20">
        <f t="shared" ref="P644" si="236">(C644+(E644*F644*H644))-N644</f>
        <v>72</v>
      </c>
      <c r="Q644" s="23" t="s">
        <v>40</v>
      </c>
      <c r="R644" s="24">
        <f t="shared" ref="R644" si="237">P644*(J644-(J644*L644)-((J644-(J644*L644))*M644))</f>
        <v>0</v>
      </c>
      <c r="S644" s="24">
        <f t="shared" ref="S644" si="238">R644/1.11</f>
        <v>0</v>
      </c>
    </row>
    <row r="645" spans="1:19" s="19" customFormat="1">
      <c r="A645" s="18" t="s">
        <v>819</v>
      </c>
      <c r="B645" s="19" t="s">
        <v>261</v>
      </c>
      <c r="C645" s="20"/>
      <c r="D645" s="21" t="s">
        <v>40</v>
      </c>
      <c r="E645" s="26">
        <v>1</v>
      </c>
      <c r="F645" s="22">
        <v>1</v>
      </c>
      <c r="G645" s="23" t="s">
        <v>20</v>
      </c>
      <c r="H645" s="22">
        <v>120</v>
      </c>
      <c r="I645" s="23" t="s">
        <v>40</v>
      </c>
      <c r="J645" s="24">
        <v>18250</v>
      </c>
      <c r="K645" s="21" t="s">
        <v>40</v>
      </c>
      <c r="L645" s="25"/>
      <c r="M645" s="25"/>
      <c r="N645" s="22"/>
      <c r="O645" s="23" t="s">
        <v>40</v>
      </c>
      <c r="P645" s="20">
        <f t="shared" si="231"/>
        <v>120</v>
      </c>
      <c r="Q645" s="23" t="s">
        <v>40</v>
      </c>
      <c r="R645" s="24">
        <f t="shared" si="232"/>
        <v>2190000</v>
      </c>
      <c r="S645" s="24">
        <f t="shared" si="216"/>
        <v>1972972.9729729728</v>
      </c>
    </row>
    <row r="646" spans="1:19" s="19" customFormat="1">
      <c r="A646" s="18" t="s">
        <v>820</v>
      </c>
      <c r="B646" s="19" t="s">
        <v>261</v>
      </c>
      <c r="C646" s="20"/>
      <c r="D646" s="21" t="s">
        <v>40</v>
      </c>
      <c r="E646" s="26">
        <v>1</v>
      </c>
      <c r="F646" s="22">
        <v>1</v>
      </c>
      <c r="G646" s="23" t="s">
        <v>20</v>
      </c>
      <c r="H646" s="22">
        <v>120</v>
      </c>
      <c r="I646" s="23" t="s">
        <v>40</v>
      </c>
      <c r="J646" s="24">
        <v>18250</v>
      </c>
      <c r="K646" s="21" t="s">
        <v>40</v>
      </c>
      <c r="L646" s="25"/>
      <c r="M646" s="25"/>
      <c r="N646" s="22"/>
      <c r="O646" s="23" t="s">
        <v>40</v>
      </c>
      <c r="P646" s="20">
        <f t="shared" ref="P646:P648" si="239">(C646+(E646*F646*H646))-N646</f>
        <v>120</v>
      </c>
      <c r="Q646" s="23" t="s">
        <v>40</v>
      </c>
      <c r="R646" s="24">
        <f t="shared" ref="R646:R648" si="240">P646*(J646-(J646*L646)-((J646-(J646*L646))*M646))</f>
        <v>2190000</v>
      </c>
      <c r="S646" s="24">
        <f t="shared" ref="S646:S648" si="241">R646/1.11</f>
        <v>1972972.9729729728</v>
      </c>
    </row>
    <row r="647" spans="1:19" s="19" customFormat="1">
      <c r="A647" s="18" t="s">
        <v>821</v>
      </c>
      <c r="B647" s="19" t="s">
        <v>261</v>
      </c>
      <c r="C647" s="20"/>
      <c r="D647" s="21" t="s">
        <v>40</v>
      </c>
      <c r="E647" s="26">
        <v>1</v>
      </c>
      <c r="F647" s="22">
        <v>1</v>
      </c>
      <c r="G647" s="23" t="s">
        <v>20</v>
      </c>
      <c r="H647" s="22">
        <v>120</v>
      </c>
      <c r="I647" s="23" t="s">
        <v>40</v>
      </c>
      <c r="J647" s="24">
        <v>18250</v>
      </c>
      <c r="K647" s="21" t="s">
        <v>40</v>
      </c>
      <c r="L647" s="25"/>
      <c r="M647" s="25"/>
      <c r="N647" s="22"/>
      <c r="O647" s="23" t="s">
        <v>40</v>
      </c>
      <c r="P647" s="20">
        <f t="shared" si="239"/>
        <v>120</v>
      </c>
      <c r="Q647" s="23" t="s">
        <v>40</v>
      </c>
      <c r="R647" s="24">
        <f t="shared" si="240"/>
        <v>2190000</v>
      </c>
      <c r="S647" s="24">
        <f t="shared" si="241"/>
        <v>1972972.9729729728</v>
      </c>
    </row>
    <row r="648" spans="1:19" s="19" customFormat="1">
      <c r="A648" s="18" t="s">
        <v>822</v>
      </c>
      <c r="B648" s="19" t="s">
        <v>261</v>
      </c>
      <c r="C648" s="20"/>
      <c r="D648" s="21" t="s">
        <v>40</v>
      </c>
      <c r="E648" s="26">
        <v>1</v>
      </c>
      <c r="F648" s="22">
        <v>1</v>
      </c>
      <c r="G648" s="23" t="s">
        <v>20</v>
      </c>
      <c r="H648" s="22">
        <v>120</v>
      </c>
      <c r="I648" s="23" t="s">
        <v>40</v>
      </c>
      <c r="J648" s="24">
        <v>18250</v>
      </c>
      <c r="K648" s="21" t="s">
        <v>40</v>
      </c>
      <c r="L648" s="25"/>
      <c r="M648" s="25"/>
      <c r="N648" s="22"/>
      <c r="O648" s="23" t="s">
        <v>40</v>
      </c>
      <c r="P648" s="20">
        <f t="shared" si="239"/>
        <v>120</v>
      </c>
      <c r="Q648" s="23" t="s">
        <v>40</v>
      </c>
      <c r="R648" s="24">
        <f t="shared" si="240"/>
        <v>2190000</v>
      </c>
      <c r="S648" s="24">
        <f t="shared" si="241"/>
        <v>1972972.9729729728</v>
      </c>
    </row>
    <row r="649" spans="1:19" s="19" customFormat="1">
      <c r="A649" s="18" t="s">
        <v>892</v>
      </c>
      <c r="B649" s="19" t="s">
        <v>261</v>
      </c>
      <c r="C649" s="20"/>
      <c r="D649" s="21" t="s">
        <v>40</v>
      </c>
      <c r="E649" s="26">
        <v>1</v>
      </c>
      <c r="F649" s="22">
        <v>1</v>
      </c>
      <c r="G649" s="23" t="s">
        <v>20</v>
      </c>
      <c r="H649" s="22">
        <v>120</v>
      </c>
      <c r="I649" s="23" t="s">
        <v>40</v>
      </c>
      <c r="J649" s="24">
        <v>18250</v>
      </c>
      <c r="K649" s="21" t="s">
        <v>40</v>
      </c>
      <c r="L649" s="25"/>
      <c r="M649" s="25"/>
      <c r="N649" s="22"/>
      <c r="O649" s="23" t="s">
        <v>40</v>
      </c>
      <c r="P649" s="20">
        <f t="shared" ref="P649" si="242">(C649+(E649*F649*H649))-N649</f>
        <v>120</v>
      </c>
      <c r="Q649" s="23" t="s">
        <v>40</v>
      </c>
      <c r="R649" s="24">
        <f t="shared" ref="R649" si="243">P649*(J649-(J649*L649)-((J649-(J649*L649))*M649))</f>
        <v>2190000</v>
      </c>
      <c r="S649" s="24">
        <f t="shared" ref="S649" si="244">R649/1.11</f>
        <v>1972972.9729729728</v>
      </c>
    </row>
    <row r="650" spans="1:19" s="19" customFormat="1">
      <c r="A650" s="18" t="s">
        <v>893</v>
      </c>
      <c r="B650" s="19" t="s">
        <v>261</v>
      </c>
      <c r="C650" s="20"/>
      <c r="D650" s="21" t="s">
        <v>40</v>
      </c>
      <c r="E650" s="26">
        <v>1</v>
      </c>
      <c r="F650" s="22">
        <v>1</v>
      </c>
      <c r="G650" s="23" t="s">
        <v>20</v>
      </c>
      <c r="H650" s="22">
        <v>120</v>
      </c>
      <c r="I650" s="23" t="s">
        <v>40</v>
      </c>
      <c r="J650" s="24">
        <v>18250</v>
      </c>
      <c r="K650" s="21" t="s">
        <v>40</v>
      </c>
      <c r="L650" s="25"/>
      <c r="M650" s="25"/>
      <c r="N650" s="22"/>
      <c r="O650" s="23" t="s">
        <v>40</v>
      </c>
      <c r="P650" s="20">
        <f t="shared" ref="P650:P655" si="245">(C650+(E650*F650*H650))-N650</f>
        <v>120</v>
      </c>
      <c r="Q650" s="23" t="s">
        <v>40</v>
      </c>
      <c r="R650" s="24">
        <f t="shared" ref="R650:R655" si="246">P650*(J650-(J650*L650)-((J650-(J650*L650))*M650))</f>
        <v>2190000</v>
      </c>
      <c r="S650" s="24">
        <f t="shared" ref="S650:S655" si="247">R650/1.11</f>
        <v>1972972.9729729728</v>
      </c>
    </row>
    <row r="651" spans="1:19" s="19" customFormat="1">
      <c r="A651" s="18" t="s">
        <v>894</v>
      </c>
      <c r="B651" s="19" t="s">
        <v>261</v>
      </c>
      <c r="C651" s="20"/>
      <c r="D651" s="21" t="s">
        <v>40</v>
      </c>
      <c r="E651" s="26">
        <v>2</v>
      </c>
      <c r="F651" s="22">
        <v>1</v>
      </c>
      <c r="G651" s="23" t="s">
        <v>20</v>
      </c>
      <c r="H651" s="22">
        <v>120</v>
      </c>
      <c r="I651" s="23" t="s">
        <v>40</v>
      </c>
      <c r="J651" s="24">
        <v>18250</v>
      </c>
      <c r="K651" s="21" t="s">
        <v>40</v>
      </c>
      <c r="L651" s="25"/>
      <c r="M651" s="25"/>
      <c r="N651" s="22"/>
      <c r="O651" s="23" t="s">
        <v>40</v>
      </c>
      <c r="P651" s="20">
        <f t="shared" si="245"/>
        <v>240</v>
      </c>
      <c r="Q651" s="23" t="s">
        <v>40</v>
      </c>
      <c r="R651" s="24">
        <f t="shared" si="246"/>
        <v>4380000</v>
      </c>
      <c r="S651" s="24">
        <f t="shared" si="247"/>
        <v>3945945.9459459456</v>
      </c>
    </row>
    <row r="652" spans="1:19" s="19" customFormat="1">
      <c r="A652" s="18" t="s">
        <v>895</v>
      </c>
      <c r="B652" s="19" t="s">
        <v>261</v>
      </c>
      <c r="C652" s="20"/>
      <c r="D652" s="21" t="s">
        <v>40</v>
      </c>
      <c r="E652" s="26">
        <v>2</v>
      </c>
      <c r="F652" s="22">
        <v>1</v>
      </c>
      <c r="G652" s="23" t="s">
        <v>20</v>
      </c>
      <c r="H652" s="22">
        <v>120</v>
      </c>
      <c r="I652" s="23" t="s">
        <v>40</v>
      </c>
      <c r="J652" s="24">
        <v>18250</v>
      </c>
      <c r="K652" s="21" t="s">
        <v>40</v>
      </c>
      <c r="L652" s="25"/>
      <c r="M652" s="25"/>
      <c r="N652" s="22"/>
      <c r="O652" s="23" t="s">
        <v>40</v>
      </c>
      <c r="P652" s="20">
        <f t="shared" si="245"/>
        <v>240</v>
      </c>
      <c r="Q652" s="23" t="s">
        <v>40</v>
      </c>
      <c r="R652" s="24">
        <f t="shared" si="246"/>
        <v>4380000</v>
      </c>
      <c r="S652" s="24">
        <f t="shared" si="247"/>
        <v>3945945.9459459456</v>
      </c>
    </row>
    <row r="653" spans="1:19" s="19" customFormat="1">
      <c r="A653" s="18" t="s">
        <v>896</v>
      </c>
      <c r="B653" s="19" t="s">
        <v>261</v>
      </c>
      <c r="C653" s="20"/>
      <c r="D653" s="21" t="s">
        <v>40</v>
      </c>
      <c r="E653" s="26">
        <v>2</v>
      </c>
      <c r="F653" s="22">
        <v>1</v>
      </c>
      <c r="G653" s="23" t="s">
        <v>20</v>
      </c>
      <c r="H653" s="22">
        <v>120</v>
      </c>
      <c r="I653" s="23" t="s">
        <v>40</v>
      </c>
      <c r="J653" s="24">
        <v>18250</v>
      </c>
      <c r="K653" s="21" t="s">
        <v>40</v>
      </c>
      <c r="L653" s="25"/>
      <c r="M653" s="25"/>
      <c r="N653" s="22"/>
      <c r="O653" s="23" t="s">
        <v>40</v>
      </c>
      <c r="P653" s="20">
        <f t="shared" si="245"/>
        <v>240</v>
      </c>
      <c r="Q653" s="23" t="s">
        <v>40</v>
      </c>
      <c r="R653" s="24">
        <f t="shared" si="246"/>
        <v>4380000</v>
      </c>
      <c r="S653" s="24">
        <f t="shared" si="247"/>
        <v>3945945.9459459456</v>
      </c>
    </row>
    <row r="654" spans="1:19" s="19" customFormat="1">
      <c r="A654" s="18" t="s">
        <v>897</v>
      </c>
      <c r="B654" s="19" t="s">
        <v>261</v>
      </c>
      <c r="C654" s="20"/>
      <c r="D654" s="21" t="s">
        <v>40</v>
      </c>
      <c r="E654" s="26">
        <v>1</v>
      </c>
      <c r="F654" s="22">
        <v>1</v>
      </c>
      <c r="G654" s="23" t="s">
        <v>20</v>
      </c>
      <c r="H654" s="22">
        <v>120</v>
      </c>
      <c r="I654" s="23" t="s">
        <v>40</v>
      </c>
      <c r="J654" s="24">
        <v>18250</v>
      </c>
      <c r="K654" s="21" t="s">
        <v>40</v>
      </c>
      <c r="L654" s="25"/>
      <c r="M654" s="25"/>
      <c r="N654" s="22"/>
      <c r="O654" s="23" t="s">
        <v>40</v>
      </c>
      <c r="P654" s="20">
        <f t="shared" si="245"/>
        <v>120</v>
      </c>
      <c r="Q654" s="23" t="s">
        <v>40</v>
      </c>
      <c r="R654" s="24">
        <f t="shared" si="246"/>
        <v>2190000</v>
      </c>
      <c r="S654" s="24">
        <f t="shared" si="247"/>
        <v>1972972.9729729728</v>
      </c>
    </row>
    <row r="655" spans="1:19" s="19" customFormat="1">
      <c r="A655" s="18" t="s">
        <v>898</v>
      </c>
      <c r="B655" s="19" t="s">
        <v>261</v>
      </c>
      <c r="C655" s="20"/>
      <c r="D655" s="21" t="s">
        <v>40</v>
      </c>
      <c r="E655" s="26">
        <v>2</v>
      </c>
      <c r="F655" s="22">
        <v>1</v>
      </c>
      <c r="G655" s="23" t="s">
        <v>20</v>
      </c>
      <c r="H655" s="22">
        <v>120</v>
      </c>
      <c r="I655" s="23" t="s">
        <v>40</v>
      </c>
      <c r="J655" s="24">
        <v>18250</v>
      </c>
      <c r="K655" s="21" t="s">
        <v>40</v>
      </c>
      <c r="L655" s="25"/>
      <c r="M655" s="25"/>
      <c r="N655" s="22"/>
      <c r="O655" s="23" t="s">
        <v>40</v>
      </c>
      <c r="P655" s="20">
        <f t="shared" si="245"/>
        <v>240</v>
      </c>
      <c r="Q655" s="23" t="s">
        <v>40</v>
      </c>
      <c r="R655" s="24">
        <f t="shared" si="246"/>
        <v>4380000</v>
      </c>
      <c r="S655" s="24">
        <f t="shared" si="247"/>
        <v>3945945.9459459456</v>
      </c>
    </row>
    <row r="656" spans="1:19" s="19" customFormat="1">
      <c r="A656" s="18" t="s">
        <v>899</v>
      </c>
      <c r="B656" s="19" t="s">
        <v>261</v>
      </c>
      <c r="C656" s="20"/>
      <c r="D656" s="21" t="s">
        <v>40</v>
      </c>
      <c r="E656" s="26">
        <v>1</v>
      </c>
      <c r="F656" s="22">
        <v>1</v>
      </c>
      <c r="G656" s="23" t="s">
        <v>20</v>
      </c>
      <c r="H656" s="22">
        <v>120</v>
      </c>
      <c r="I656" s="23" t="s">
        <v>40</v>
      </c>
      <c r="J656" s="24">
        <v>18250</v>
      </c>
      <c r="K656" s="21" t="s">
        <v>40</v>
      </c>
      <c r="L656" s="25"/>
      <c r="M656" s="25"/>
      <c r="N656" s="22"/>
      <c r="O656" s="23" t="s">
        <v>40</v>
      </c>
      <c r="P656" s="20">
        <f t="shared" ref="P656" si="248">(C656+(E656*F656*H656))-N656</f>
        <v>120</v>
      </c>
      <c r="Q656" s="23" t="s">
        <v>40</v>
      </c>
      <c r="R656" s="24">
        <f t="shared" ref="R656" si="249">P656*(J656-(J656*L656)-((J656-(J656*L656))*M656))</f>
        <v>2190000</v>
      </c>
      <c r="S656" s="24">
        <f t="shared" ref="S656" si="250">R656/1.11</f>
        <v>1972972.9729729728</v>
      </c>
    </row>
    <row r="657" spans="1:19" s="19" customFormat="1">
      <c r="A657" s="18" t="s">
        <v>900</v>
      </c>
      <c r="B657" s="19" t="s">
        <v>261</v>
      </c>
      <c r="C657" s="20"/>
      <c r="D657" s="21" t="s">
        <v>40</v>
      </c>
      <c r="E657" s="26">
        <v>1</v>
      </c>
      <c r="F657" s="22">
        <v>1</v>
      </c>
      <c r="G657" s="23" t="s">
        <v>20</v>
      </c>
      <c r="H657" s="22">
        <v>60</v>
      </c>
      <c r="I657" s="23" t="s">
        <v>40</v>
      </c>
      <c r="J657" s="24">
        <v>18250</v>
      </c>
      <c r="K657" s="21" t="s">
        <v>40</v>
      </c>
      <c r="L657" s="25"/>
      <c r="M657" s="25"/>
      <c r="N657" s="22"/>
      <c r="O657" s="23" t="s">
        <v>40</v>
      </c>
      <c r="P657" s="20">
        <f t="shared" ref="P657" si="251">(C657+(E657*F657*H657))-N657</f>
        <v>60</v>
      </c>
      <c r="Q657" s="23" t="s">
        <v>40</v>
      </c>
      <c r="R657" s="24">
        <f t="shared" ref="R657" si="252">P657*(J657-(J657*L657)-((J657-(J657*L657))*M657))</f>
        <v>1095000</v>
      </c>
      <c r="S657" s="24">
        <f t="shared" ref="S657" si="253">R657/1.11</f>
        <v>986486.48648648639</v>
      </c>
    </row>
    <row r="658" spans="1:19" s="19" customFormat="1">
      <c r="A658" s="18" t="s">
        <v>900</v>
      </c>
      <c r="B658" s="19" t="s">
        <v>261</v>
      </c>
      <c r="C658" s="20"/>
      <c r="D658" s="21" t="s">
        <v>40</v>
      </c>
      <c r="E658" s="26">
        <v>1</v>
      </c>
      <c r="F658" s="22">
        <v>1</v>
      </c>
      <c r="G658" s="23" t="s">
        <v>20</v>
      </c>
      <c r="H658" s="22">
        <v>60</v>
      </c>
      <c r="I658" s="23" t="s">
        <v>40</v>
      </c>
      <c r="J658" s="24">
        <v>0</v>
      </c>
      <c r="K658" s="21" t="s">
        <v>40</v>
      </c>
      <c r="L658" s="25"/>
      <c r="M658" s="25"/>
      <c r="N658" s="22"/>
      <c r="O658" s="23" t="s">
        <v>40</v>
      </c>
      <c r="P658" s="20">
        <v>0</v>
      </c>
      <c r="Q658" s="23" t="s">
        <v>40</v>
      </c>
      <c r="R658" s="24">
        <v>0</v>
      </c>
      <c r="S658" s="24">
        <v>0</v>
      </c>
    </row>
    <row r="660" spans="1:19">
      <c r="A660" s="17" t="s">
        <v>705</v>
      </c>
      <c r="B660" s="2" t="s">
        <v>691</v>
      </c>
      <c r="C660" s="3">
        <v>43</v>
      </c>
      <c r="D660" s="4" t="s">
        <v>40</v>
      </c>
      <c r="F660" s="6">
        <v>1</v>
      </c>
      <c r="G660" s="7" t="s">
        <v>20</v>
      </c>
      <c r="H660" s="6">
        <v>96</v>
      </c>
      <c r="I660" s="7" t="s">
        <v>40</v>
      </c>
      <c r="J660" s="8">
        <v>26500</v>
      </c>
      <c r="K660" s="4" t="s">
        <v>40</v>
      </c>
      <c r="O660" s="7" t="s">
        <v>40</v>
      </c>
      <c r="P660" s="3">
        <f>(C660+(E660*F660*H660))-N660</f>
        <v>43</v>
      </c>
      <c r="Q660" s="7" t="s">
        <v>40</v>
      </c>
      <c r="R660" s="8">
        <f>P660*(J660-(J660*L660)-((J660-(J660*L660))*M660))</f>
        <v>1139500</v>
      </c>
      <c r="S660" s="8">
        <f t="shared" si="216"/>
        <v>1026576.5765765765</v>
      </c>
    </row>
    <row r="662" spans="1:19">
      <c r="A662" s="17" t="s">
        <v>744</v>
      </c>
      <c r="B662" s="2" t="s">
        <v>172</v>
      </c>
      <c r="C662" s="3">
        <v>249</v>
      </c>
      <c r="D662" s="4" t="s">
        <v>40</v>
      </c>
      <c r="F662" s="6">
        <v>1</v>
      </c>
      <c r="G662" s="7" t="s">
        <v>20</v>
      </c>
      <c r="H662" s="6">
        <v>144</v>
      </c>
      <c r="I662" s="7" t="s">
        <v>40</v>
      </c>
      <c r="J662" s="8">
        <v>19000</v>
      </c>
      <c r="K662" s="4" t="s">
        <v>40</v>
      </c>
      <c r="L662" s="9">
        <v>0.02</v>
      </c>
      <c r="O662" s="7" t="s">
        <v>40</v>
      </c>
      <c r="P662" s="3">
        <f>(C662+(E662*F662*H662))-N662</f>
        <v>249</v>
      </c>
      <c r="Q662" s="7" t="s">
        <v>40</v>
      </c>
      <c r="R662" s="8">
        <f>P662*(J662-(J662*L662)-((J662-(J662*L662))*M662))</f>
        <v>4636380</v>
      </c>
      <c r="S662" s="8">
        <f t="shared" ref="S662" si="254">R662/1.11</f>
        <v>4176918.9189189184</v>
      </c>
    </row>
    <row r="663" spans="1:19">
      <c r="A663" s="17" t="s">
        <v>406</v>
      </c>
      <c r="B663" s="2" t="s">
        <v>172</v>
      </c>
      <c r="C663" s="3">
        <v>360</v>
      </c>
      <c r="D663" s="4" t="s">
        <v>40</v>
      </c>
      <c r="F663" s="6">
        <v>1</v>
      </c>
      <c r="G663" s="7" t="s">
        <v>20</v>
      </c>
      <c r="H663" s="6">
        <v>192</v>
      </c>
      <c r="I663" s="7" t="s">
        <v>40</v>
      </c>
      <c r="J663" s="8">
        <v>12750</v>
      </c>
      <c r="K663" s="4" t="s">
        <v>40</v>
      </c>
      <c r="L663" s="9">
        <v>0.05</v>
      </c>
      <c r="O663" s="7" t="s">
        <v>40</v>
      </c>
      <c r="P663" s="3">
        <f>(C663+(E663*F663*H663))-N663</f>
        <v>360</v>
      </c>
      <c r="Q663" s="7" t="s">
        <v>40</v>
      </c>
      <c r="R663" s="8">
        <f>P663*(J663-(J663*L663)-((J663-(J663*L663))*M663))</f>
        <v>4360500</v>
      </c>
      <c r="S663" s="8">
        <f t="shared" si="216"/>
        <v>3928378.3783783782</v>
      </c>
    </row>
    <row r="665" spans="1:19">
      <c r="A665" s="15" t="s">
        <v>407</v>
      </c>
    </row>
    <row r="666" spans="1:19" s="89" customFormat="1">
      <c r="A666" s="152" t="s">
        <v>408</v>
      </c>
      <c r="B666" s="89" t="s">
        <v>18</v>
      </c>
      <c r="C666" s="87"/>
      <c r="D666" s="90" t="s">
        <v>152</v>
      </c>
      <c r="E666" s="91"/>
      <c r="F666" s="92">
        <v>8</v>
      </c>
      <c r="G666" s="93" t="s">
        <v>33</v>
      </c>
      <c r="H666" s="92">
        <v>24</v>
      </c>
      <c r="I666" s="93" t="s">
        <v>152</v>
      </c>
      <c r="J666" s="94">
        <v>16500</v>
      </c>
      <c r="K666" s="90" t="s">
        <v>152</v>
      </c>
      <c r="L666" s="95">
        <v>0.125</v>
      </c>
      <c r="M666" s="95">
        <v>0.05</v>
      </c>
      <c r="N666" s="92"/>
      <c r="O666" s="93" t="s">
        <v>152</v>
      </c>
      <c r="P666" s="87">
        <f t="shared" ref="P666:P671" si="255">(C666+(E666*F666*H666))-N666</f>
        <v>0</v>
      </c>
      <c r="Q666" s="93" t="s">
        <v>152</v>
      </c>
      <c r="R666" s="94">
        <f t="shared" ref="R666:R671" si="256">P666*(J666-(J666*L666)-((J666-(J666*L666))*M666))</f>
        <v>0</v>
      </c>
      <c r="S666" s="94">
        <f t="shared" si="216"/>
        <v>0</v>
      </c>
    </row>
    <row r="667" spans="1:19" s="80" customFormat="1">
      <c r="A667" s="152" t="s">
        <v>800</v>
      </c>
      <c r="B667" s="80" t="s">
        <v>18</v>
      </c>
      <c r="C667" s="81"/>
      <c r="D667" s="82" t="s">
        <v>152</v>
      </c>
      <c r="E667" s="83"/>
      <c r="F667" s="84">
        <v>12</v>
      </c>
      <c r="G667" s="85" t="s">
        <v>33</v>
      </c>
      <c r="H667" s="84">
        <v>24</v>
      </c>
      <c r="I667" s="85" t="s">
        <v>152</v>
      </c>
      <c r="J667" s="16">
        <v>14400</v>
      </c>
      <c r="K667" s="82" t="s">
        <v>152</v>
      </c>
      <c r="L667" s="86">
        <v>0.125</v>
      </c>
      <c r="M667" s="86">
        <v>0.05</v>
      </c>
      <c r="N667" s="84"/>
      <c r="O667" s="85" t="s">
        <v>152</v>
      </c>
      <c r="P667" s="81">
        <f t="shared" si="255"/>
        <v>0</v>
      </c>
      <c r="Q667" s="85" t="s">
        <v>152</v>
      </c>
      <c r="R667" s="16">
        <f t="shared" si="256"/>
        <v>0</v>
      </c>
      <c r="S667" s="16">
        <f t="shared" ref="S667:S770" si="257">R667/1.11</f>
        <v>0</v>
      </c>
    </row>
    <row r="668" spans="1:19">
      <c r="A668" s="58" t="s">
        <v>409</v>
      </c>
      <c r="B668" s="2" t="s">
        <v>18</v>
      </c>
      <c r="C668" s="3">
        <v>7</v>
      </c>
      <c r="D668" s="4" t="s">
        <v>152</v>
      </c>
      <c r="F668" s="6">
        <v>8</v>
      </c>
      <c r="G668" s="7" t="s">
        <v>33</v>
      </c>
      <c r="H668" s="6">
        <v>30</v>
      </c>
      <c r="I668" s="7" t="s">
        <v>152</v>
      </c>
      <c r="K668" s="4" t="s">
        <v>152</v>
      </c>
      <c r="L668" s="9">
        <v>0.1</v>
      </c>
      <c r="M668" s="9">
        <v>0.05</v>
      </c>
      <c r="O668" s="7" t="s">
        <v>152</v>
      </c>
      <c r="P668" s="3">
        <f t="shared" si="255"/>
        <v>7</v>
      </c>
      <c r="Q668" s="7" t="s">
        <v>152</v>
      </c>
      <c r="R668" s="8">
        <f t="shared" si="256"/>
        <v>0</v>
      </c>
      <c r="S668" s="8">
        <f t="shared" si="257"/>
        <v>0</v>
      </c>
    </row>
    <row r="669" spans="1:19" s="80" customFormat="1">
      <c r="A669" s="152" t="s">
        <v>410</v>
      </c>
      <c r="B669" s="80" t="s">
        <v>18</v>
      </c>
      <c r="C669" s="81"/>
      <c r="D669" s="82" t="s">
        <v>152</v>
      </c>
      <c r="E669" s="83"/>
      <c r="F669" s="84">
        <v>8</v>
      </c>
      <c r="G669" s="85" t="s">
        <v>33</v>
      </c>
      <c r="H669" s="84">
        <v>24</v>
      </c>
      <c r="I669" s="85" t="s">
        <v>152</v>
      </c>
      <c r="J669" s="16">
        <v>21000</v>
      </c>
      <c r="K669" s="82" t="s">
        <v>152</v>
      </c>
      <c r="L669" s="86">
        <v>0.125</v>
      </c>
      <c r="M669" s="86">
        <v>0.05</v>
      </c>
      <c r="N669" s="84"/>
      <c r="O669" s="85" t="s">
        <v>152</v>
      </c>
      <c r="P669" s="81">
        <f t="shared" si="255"/>
        <v>0</v>
      </c>
      <c r="Q669" s="85" t="s">
        <v>152</v>
      </c>
      <c r="R669" s="16">
        <f t="shared" si="256"/>
        <v>0</v>
      </c>
      <c r="S669" s="16">
        <f t="shared" si="257"/>
        <v>0</v>
      </c>
    </row>
    <row r="670" spans="1:19" s="96" customFormat="1">
      <c r="A670" s="168" t="s">
        <v>411</v>
      </c>
      <c r="B670" s="96" t="s">
        <v>18</v>
      </c>
      <c r="C670" s="99"/>
      <c r="D670" s="100" t="s">
        <v>152</v>
      </c>
      <c r="E670" s="101">
        <v>4</v>
      </c>
      <c r="F670" s="102">
        <v>8</v>
      </c>
      <c r="G670" s="103" t="s">
        <v>33</v>
      </c>
      <c r="H670" s="102">
        <v>24</v>
      </c>
      <c r="I670" s="103" t="s">
        <v>152</v>
      </c>
      <c r="J670" s="104">
        <v>16800</v>
      </c>
      <c r="K670" s="100" t="s">
        <v>152</v>
      </c>
      <c r="L670" s="105">
        <v>0.125</v>
      </c>
      <c r="M670" s="105">
        <v>0.05</v>
      </c>
      <c r="N670" s="102"/>
      <c r="O670" s="103" t="s">
        <v>152</v>
      </c>
      <c r="P670" s="99">
        <f t="shared" si="255"/>
        <v>768</v>
      </c>
      <c r="Q670" s="103" t="s">
        <v>152</v>
      </c>
      <c r="R670" s="104">
        <f t="shared" si="256"/>
        <v>10725120</v>
      </c>
      <c r="S670" s="104">
        <f t="shared" si="257"/>
        <v>9662270.2702702694</v>
      </c>
    </row>
    <row r="671" spans="1:19" s="80" customFormat="1">
      <c r="A671" s="152" t="s">
        <v>412</v>
      </c>
      <c r="B671" s="80" t="s">
        <v>18</v>
      </c>
      <c r="C671" s="81"/>
      <c r="D671" s="82" t="s">
        <v>152</v>
      </c>
      <c r="E671" s="83"/>
      <c r="F671" s="84">
        <v>6</v>
      </c>
      <c r="G671" s="85" t="s">
        <v>33</v>
      </c>
      <c r="H671" s="84">
        <v>24</v>
      </c>
      <c r="I671" s="85" t="s">
        <v>152</v>
      </c>
      <c r="J671" s="16">
        <v>21000</v>
      </c>
      <c r="K671" s="82" t="s">
        <v>152</v>
      </c>
      <c r="L671" s="86">
        <v>0.125</v>
      </c>
      <c r="M671" s="86">
        <v>0.05</v>
      </c>
      <c r="N671" s="84"/>
      <c r="O671" s="85" t="s">
        <v>152</v>
      </c>
      <c r="P671" s="81">
        <f t="shared" si="255"/>
        <v>0</v>
      </c>
      <c r="Q671" s="85" t="s">
        <v>152</v>
      </c>
      <c r="R671" s="16">
        <f t="shared" si="256"/>
        <v>0</v>
      </c>
      <c r="S671" s="16">
        <f t="shared" si="257"/>
        <v>0</v>
      </c>
    </row>
    <row r="672" spans="1:19" s="80" customFormat="1">
      <c r="A672" s="153"/>
      <c r="C672" s="81"/>
      <c r="D672" s="82"/>
      <c r="E672" s="83"/>
      <c r="F672" s="84"/>
      <c r="G672" s="85"/>
      <c r="H672" s="84"/>
      <c r="I672" s="85"/>
      <c r="J672" s="16"/>
      <c r="K672" s="82"/>
      <c r="L672" s="86"/>
      <c r="M672" s="86"/>
      <c r="N672" s="84"/>
      <c r="O672" s="85"/>
      <c r="P672" s="81"/>
      <c r="Q672" s="85"/>
      <c r="R672" s="16"/>
      <c r="S672" s="16"/>
    </row>
    <row r="673" spans="1:19" s="80" customFormat="1">
      <c r="A673" s="79" t="s">
        <v>413</v>
      </c>
      <c r="B673" s="80" t="s">
        <v>25</v>
      </c>
      <c r="C673" s="81"/>
      <c r="D673" s="82" t="s">
        <v>152</v>
      </c>
      <c r="E673" s="83"/>
      <c r="F673" s="84">
        <v>8</v>
      </c>
      <c r="G673" s="85" t="s">
        <v>33</v>
      </c>
      <c r="H673" s="84">
        <v>30</v>
      </c>
      <c r="I673" s="85" t="s">
        <v>152</v>
      </c>
      <c r="J673" s="16">
        <f>4800000/8/30</f>
        <v>20000</v>
      </c>
      <c r="K673" s="82" t="s">
        <v>152</v>
      </c>
      <c r="L673" s="86"/>
      <c r="M673" s="86">
        <v>0.17</v>
      </c>
      <c r="N673" s="84"/>
      <c r="O673" s="85" t="s">
        <v>152</v>
      </c>
      <c r="P673" s="81">
        <f>(C673+(E673*F673*H673))-N673</f>
        <v>0</v>
      </c>
      <c r="Q673" s="85" t="s">
        <v>152</v>
      </c>
      <c r="R673" s="16">
        <f>P673*(J673-(J673*L673)-((J673-(J673*L673))*M673))</f>
        <v>0</v>
      </c>
      <c r="S673" s="16">
        <f t="shared" si="257"/>
        <v>0</v>
      </c>
    </row>
    <row r="674" spans="1:19" s="80" customFormat="1">
      <c r="A674" s="79" t="s">
        <v>676</v>
      </c>
      <c r="B674" s="80" t="s">
        <v>25</v>
      </c>
      <c r="C674" s="81"/>
      <c r="D674" s="82" t="s">
        <v>152</v>
      </c>
      <c r="E674" s="83"/>
      <c r="F674" s="84">
        <v>6</v>
      </c>
      <c r="G674" s="85" t="s">
        <v>33</v>
      </c>
      <c r="H674" s="84">
        <v>30</v>
      </c>
      <c r="I674" s="85" t="s">
        <v>152</v>
      </c>
      <c r="J674" s="16">
        <f>2664000/6/30</f>
        <v>14800</v>
      </c>
      <c r="K674" s="82" t="s">
        <v>152</v>
      </c>
      <c r="L674" s="86"/>
      <c r="M674" s="86">
        <v>0.17</v>
      </c>
      <c r="N674" s="84"/>
      <c r="O674" s="85" t="s">
        <v>152</v>
      </c>
      <c r="P674" s="81">
        <f>(C674+(E674*F674*H674))-N674</f>
        <v>0</v>
      </c>
      <c r="Q674" s="85" t="s">
        <v>152</v>
      </c>
      <c r="R674" s="16">
        <f>P674*(J674-(J674*L674)-((J674-(J674*L674))*M674))</f>
        <v>0</v>
      </c>
      <c r="S674" s="16">
        <f t="shared" si="257"/>
        <v>0</v>
      </c>
    </row>
    <row r="676" spans="1:19">
      <c r="A676" s="15" t="s">
        <v>414</v>
      </c>
    </row>
    <row r="677" spans="1:19" s="80" customFormat="1">
      <c r="A677" s="79" t="s">
        <v>415</v>
      </c>
      <c r="B677" s="80" t="s">
        <v>18</v>
      </c>
      <c r="C677" s="81"/>
      <c r="D677" s="82" t="s">
        <v>40</v>
      </c>
      <c r="E677" s="83"/>
      <c r="F677" s="84">
        <v>48</v>
      </c>
      <c r="G677" s="85" t="s">
        <v>33</v>
      </c>
      <c r="H677" s="84">
        <v>12</v>
      </c>
      <c r="I677" s="85" t="s">
        <v>19</v>
      </c>
      <c r="J677" s="16">
        <v>5800</v>
      </c>
      <c r="K677" s="82" t="s">
        <v>19</v>
      </c>
      <c r="L677" s="86">
        <v>0.125</v>
      </c>
      <c r="M677" s="86">
        <v>0.05</v>
      </c>
      <c r="N677" s="84"/>
      <c r="O677" s="85" t="s">
        <v>19</v>
      </c>
      <c r="P677" s="81">
        <f>(C677+(E677*F677*H677))-N677</f>
        <v>0</v>
      </c>
      <c r="Q677" s="85" t="s">
        <v>19</v>
      </c>
      <c r="R677" s="16">
        <f>P677*(J677-(J677*L677)-((J677-(J677*L677))*M677))</f>
        <v>0</v>
      </c>
      <c r="S677" s="16">
        <f>R677/1.11</f>
        <v>0</v>
      </c>
    </row>
    <row r="679" spans="1:19">
      <c r="A679" s="58" t="s">
        <v>772</v>
      </c>
      <c r="B679" s="2" t="s">
        <v>25</v>
      </c>
      <c r="C679" s="3">
        <v>576</v>
      </c>
      <c r="D679" s="4" t="s">
        <v>19</v>
      </c>
      <c r="F679" s="6">
        <v>24</v>
      </c>
      <c r="G679" s="7" t="s">
        <v>33</v>
      </c>
      <c r="H679" s="6">
        <v>24</v>
      </c>
      <c r="I679" s="7" t="s">
        <v>19</v>
      </c>
      <c r="J679" s="8">
        <f>2822400/24/24</f>
        <v>4900</v>
      </c>
      <c r="K679" s="4" t="s">
        <v>19</v>
      </c>
      <c r="M679" s="9">
        <v>0.17</v>
      </c>
      <c r="O679" s="7" t="s">
        <v>19</v>
      </c>
      <c r="P679" s="3">
        <f>(C679+(E679*F679*H679))-N679</f>
        <v>576</v>
      </c>
      <c r="Q679" s="7" t="s">
        <v>19</v>
      </c>
      <c r="R679" s="8">
        <f>P679*(J679-(J679*L679)-((J679-(J679*L679))*M679))</f>
        <v>2342592</v>
      </c>
      <c r="S679" s="8">
        <f t="shared" si="257"/>
        <v>2110443.2432432431</v>
      </c>
    </row>
    <row r="680" spans="1:19">
      <c r="A680" s="58" t="s">
        <v>773</v>
      </c>
      <c r="B680" s="2" t="s">
        <v>25</v>
      </c>
      <c r="C680" s="3">
        <v>4</v>
      </c>
      <c r="D680" s="4" t="s">
        <v>40</v>
      </c>
      <c r="F680" s="6">
        <v>24</v>
      </c>
      <c r="G680" s="7" t="s">
        <v>33</v>
      </c>
      <c r="H680" s="6">
        <v>2</v>
      </c>
      <c r="I680" s="7" t="s">
        <v>40</v>
      </c>
      <c r="J680" s="8">
        <f>2592000/24/2</f>
        <v>54000</v>
      </c>
      <c r="K680" s="4" t="s">
        <v>40</v>
      </c>
      <c r="M680" s="9">
        <v>0.17</v>
      </c>
      <c r="O680" s="7" t="s">
        <v>40</v>
      </c>
      <c r="P680" s="3">
        <f>(C680+(E680*F680*H680))-N680</f>
        <v>4</v>
      </c>
      <c r="Q680" s="7" t="s">
        <v>40</v>
      </c>
      <c r="R680" s="8">
        <f>P680*(J680-(J680*L680)-((J680-(J680*L680))*M680))</f>
        <v>179280</v>
      </c>
      <c r="S680" s="8">
        <f t="shared" si="257"/>
        <v>161513.51351351349</v>
      </c>
    </row>
    <row r="681" spans="1:19">
      <c r="A681" s="58" t="s">
        <v>774</v>
      </c>
      <c r="B681" s="2" t="s">
        <v>25</v>
      </c>
      <c r="C681" s="3">
        <v>576</v>
      </c>
      <c r="D681" s="4" t="s">
        <v>19</v>
      </c>
      <c r="F681" s="6">
        <v>24</v>
      </c>
      <c r="G681" s="7" t="s">
        <v>33</v>
      </c>
      <c r="H681" s="6">
        <v>24</v>
      </c>
      <c r="I681" s="7" t="s">
        <v>19</v>
      </c>
      <c r="J681" s="8">
        <f>1900800/24/24</f>
        <v>3300</v>
      </c>
      <c r="K681" s="4" t="s">
        <v>19</v>
      </c>
      <c r="M681" s="9">
        <v>0.17</v>
      </c>
      <c r="O681" s="7" t="s">
        <v>19</v>
      </c>
      <c r="P681" s="3">
        <f>(C681+(E681*F681*H681))-N681</f>
        <v>576</v>
      </c>
      <c r="Q681" s="7" t="s">
        <v>19</v>
      </c>
      <c r="R681" s="8">
        <f>P681*(J681-(J681*L681)-((J681-(J681*L681))*M681))</f>
        <v>1577664</v>
      </c>
      <c r="S681" s="8">
        <f t="shared" si="257"/>
        <v>1421318.9189189188</v>
      </c>
    </row>
    <row r="682" spans="1:19">
      <c r="A682" s="59"/>
    </row>
    <row r="683" spans="1:19">
      <c r="A683" s="15" t="s">
        <v>416</v>
      </c>
    </row>
    <row r="684" spans="1:19" s="80" customFormat="1">
      <c r="A684" s="79" t="s">
        <v>417</v>
      </c>
      <c r="B684" s="80" t="s">
        <v>18</v>
      </c>
      <c r="C684" s="81"/>
      <c r="D684" s="82" t="s">
        <v>99</v>
      </c>
      <c r="E684" s="83"/>
      <c r="F684" s="84">
        <v>18</v>
      </c>
      <c r="G684" s="85" t="s">
        <v>33</v>
      </c>
      <c r="H684" s="84">
        <v>12</v>
      </c>
      <c r="I684" s="85" t="s">
        <v>99</v>
      </c>
      <c r="J684" s="16">
        <f>36000/12</f>
        <v>3000</v>
      </c>
      <c r="K684" s="82" t="s">
        <v>99</v>
      </c>
      <c r="L684" s="86">
        <v>0.125</v>
      </c>
      <c r="M684" s="86">
        <v>0.05</v>
      </c>
      <c r="N684" s="84"/>
      <c r="O684" s="85" t="s">
        <v>99</v>
      </c>
      <c r="P684" s="81">
        <f>(C684+(E684*F684*H684))-N684</f>
        <v>0</v>
      </c>
      <c r="Q684" s="85" t="s">
        <v>99</v>
      </c>
      <c r="R684" s="16">
        <f>P684*(J684-(J684*L684)-((J684-(J684*L684))*M684))</f>
        <v>0</v>
      </c>
      <c r="S684" s="16">
        <f t="shared" si="257"/>
        <v>0</v>
      </c>
    </row>
    <row r="685" spans="1:19" s="80" customFormat="1">
      <c r="A685" s="79" t="s">
        <v>418</v>
      </c>
      <c r="B685" s="80" t="s">
        <v>18</v>
      </c>
      <c r="C685" s="81"/>
      <c r="D685" s="82" t="s">
        <v>40</v>
      </c>
      <c r="E685" s="83"/>
      <c r="F685" s="84">
        <v>18</v>
      </c>
      <c r="G685" s="85" t="s">
        <v>33</v>
      </c>
      <c r="H685" s="84">
        <v>24</v>
      </c>
      <c r="I685" s="85" t="s">
        <v>40</v>
      </c>
      <c r="J685" s="16">
        <v>27600</v>
      </c>
      <c r="K685" s="82" t="s">
        <v>40</v>
      </c>
      <c r="L685" s="86">
        <v>0.125</v>
      </c>
      <c r="M685" s="86">
        <v>0.05</v>
      </c>
      <c r="N685" s="84"/>
      <c r="O685" s="85" t="s">
        <v>40</v>
      </c>
      <c r="P685" s="81">
        <f>(C685+(E685*F685*H685))-N685</f>
        <v>0</v>
      </c>
      <c r="Q685" s="85" t="s">
        <v>40</v>
      </c>
      <c r="R685" s="16">
        <f>P685*(J685-(J685*L685)-((J685-(J685*L685))*M685))</f>
        <v>0</v>
      </c>
      <c r="S685" s="16">
        <f t="shared" si="257"/>
        <v>0</v>
      </c>
    </row>
    <row r="686" spans="1:19" s="80" customFormat="1">
      <c r="A686" s="79"/>
      <c r="C686" s="81"/>
      <c r="D686" s="82"/>
      <c r="E686" s="83"/>
      <c r="F686" s="84"/>
      <c r="G686" s="85"/>
      <c r="H686" s="84"/>
      <c r="I686" s="85"/>
      <c r="J686" s="16"/>
      <c r="K686" s="82"/>
      <c r="L686" s="86"/>
      <c r="M686" s="86"/>
      <c r="N686" s="84"/>
      <c r="O686" s="85"/>
      <c r="P686" s="81"/>
      <c r="Q686" s="85"/>
      <c r="R686" s="16"/>
      <c r="S686" s="16"/>
    </row>
    <row r="687" spans="1:19" s="80" customFormat="1">
      <c r="A687" s="79" t="s">
        <v>419</v>
      </c>
      <c r="B687" s="80" t="s">
        <v>261</v>
      </c>
      <c r="C687" s="81"/>
      <c r="D687" s="82" t="s">
        <v>40</v>
      </c>
      <c r="E687" s="83"/>
      <c r="F687" s="84">
        <v>1</v>
      </c>
      <c r="G687" s="85" t="s">
        <v>20</v>
      </c>
      <c r="H687" s="84">
        <v>96</v>
      </c>
      <c r="I687" s="85" t="s">
        <v>40</v>
      </c>
      <c r="J687" s="16">
        <v>9500</v>
      </c>
      <c r="K687" s="82" t="s">
        <v>40</v>
      </c>
      <c r="L687" s="86"/>
      <c r="M687" s="86"/>
      <c r="N687" s="84"/>
      <c r="O687" s="85" t="s">
        <v>40</v>
      </c>
      <c r="P687" s="81">
        <f>(C687+(E687*F687*H687))-N687</f>
        <v>0</v>
      </c>
      <c r="Q687" s="85" t="s">
        <v>40</v>
      </c>
      <c r="R687" s="16">
        <f>P687*(J687-(J687*L687)-((J687-(J687*L687))*M687))</f>
        <v>0</v>
      </c>
      <c r="S687" s="16">
        <f t="shared" si="257"/>
        <v>0</v>
      </c>
    </row>
    <row r="688" spans="1:19" s="96" customFormat="1">
      <c r="A688" s="115" t="s">
        <v>883</v>
      </c>
      <c r="B688" s="96" t="s">
        <v>261</v>
      </c>
      <c r="C688" s="99"/>
      <c r="D688" s="100" t="s">
        <v>99</v>
      </c>
      <c r="E688" s="101">
        <v>2</v>
      </c>
      <c r="F688" s="102">
        <v>1</v>
      </c>
      <c r="G688" s="103" t="s">
        <v>20</v>
      </c>
      <c r="H688" s="102">
        <v>80</v>
      </c>
      <c r="I688" s="103" t="s">
        <v>99</v>
      </c>
      <c r="J688" s="104">
        <v>22500</v>
      </c>
      <c r="K688" s="100" t="s">
        <v>99</v>
      </c>
      <c r="L688" s="105"/>
      <c r="M688" s="105"/>
      <c r="N688" s="102"/>
      <c r="O688" s="103" t="s">
        <v>99</v>
      </c>
      <c r="P688" s="99">
        <f>(C688+(E688*F688*H688))-N688</f>
        <v>160</v>
      </c>
      <c r="Q688" s="103" t="s">
        <v>99</v>
      </c>
      <c r="R688" s="104">
        <f>P688*(J688-(J688*L688)-((J688-(J688*L688))*M688))</f>
        <v>3600000</v>
      </c>
      <c r="S688" s="104">
        <f t="shared" ref="S688" si="258">R688/1.11</f>
        <v>3243243.2432432431</v>
      </c>
    </row>
    <row r="690" spans="1:19">
      <c r="A690" s="17" t="s">
        <v>420</v>
      </c>
      <c r="B690" s="2" t="s">
        <v>25</v>
      </c>
      <c r="C690" s="3">
        <v>417</v>
      </c>
      <c r="D690" s="4" t="s">
        <v>19</v>
      </c>
      <c r="F690" s="6">
        <v>144</v>
      </c>
      <c r="G690" s="7" t="s">
        <v>33</v>
      </c>
      <c r="H690" s="6">
        <v>2</v>
      </c>
      <c r="I690" s="7" t="s">
        <v>40</v>
      </c>
      <c r="J690" s="8">
        <f>6739200/144/2</f>
        <v>23400</v>
      </c>
      <c r="K690" s="4" t="s">
        <v>40</v>
      </c>
      <c r="M690" s="9">
        <v>0.17</v>
      </c>
      <c r="O690" s="7" t="s">
        <v>40</v>
      </c>
      <c r="P690" s="3">
        <f>(C690+(E690*F690*H690))-N690</f>
        <v>417</v>
      </c>
      <c r="Q690" s="7" t="s">
        <v>40</v>
      </c>
      <c r="R690" s="8">
        <f>P690*(J690-(J690*L690)-((J690-(J690*L690))*M690))</f>
        <v>8098974</v>
      </c>
      <c r="S690" s="8">
        <f t="shared" si="257"/>
        <v>7296372.9729729723</v>
      </c>
    </row>
    <row r="691" spans="1:19" s="96" customFormat="1">
      <c r="A691" s="115" t="s">
        <v>421</v>
      </c>
      <c r="B691" s="96" t="s">
        <v>25</v>
      </c>
      <c r="C691" s="99"/>
      <c r="D691" s="100" t="s">
        <v>33</v>
      </c>
      <c r="E691" s="101">
        <v>1</v>
      </c>
      <c r="F691" s="102">
        <v>1</v>
      </c>
      <c r="G691" s="103" t="s">
        <v>20</v>
      </c>
      <c r="H691" s="102">
        <v>120</v>
      </c>
      <c r="I691" s="103" t="s">
        <v>33</v>
      </c>
      <c r="J691" s="104">
        <f>2160000/120</f>
        <v>18000</v>
      </c>
      <c r="K691" s="100" t="s">
        <v>33</v>
      </c>
      <c r="L691" s="105"/>
      <c r="M691" s="105">
        <v>0.17</v>
      </c>
      <c r="N691" s="102"/>
      <c r="O691" s="103" t="s">
        <v>33</v>
      </c>
      <c r="P691" s="99">
        <f>(C691+(E691*F691*H691))-N691</f>
        <v>120</v>
      </c>
      <c r="Q691" s="103" t="s">
        <v>33</v>
      </c>
      <c r="R691" s="104">
        <f>P691*(J691-(J691*L691)-((J691-(J691*L691))*M691))</f>
        <v>1792800</v>
      </c>
      <c r="S691" s="104">
        <f t="shared" si="257"/>
        <v>1615135.1351351349</v>
      </c>
    </row>
    <row r="693" spans="1:19">
      <c r="A693" s="17" t="s">
        <v>422</v>
      </c>
      <c r="B693" s="2" t="s">
        <v>182</v>
      </c>
      <c r="C693" s="3">
        <v>2400</v>
      </c>
      <c r="D693" s="4" t="s">
        <v>33</v>
      </c>
      <c r="F693" s="6">
        <v>1</v>
      </c>
      <c r="G693" s="7" t="s">
        <v>20</v>
      </c>
      <c r="H693" s="6">
        <v>240</v>
      </c>
      <c r="I693" s="7" t="s">
        <v>33</v>
      </c>
      <c r="J693" s="8">
        <v>5500</v>
      </c>
      <c r="K693" s="4" t="s">
        <v>33</v>
      </c>
      <c r="O693" s="7" t="s">
        <v>33</v>
      </c>
      <c r="P693" s="3">
        <f>(C693+(E693*F693*H693))-N693</f>
        <v>2400</v>
      </c>
      <c r="Q693" s="7" t="s">
        <v>33</v>
      </c>
      <c r="R693" s="8">
        <f>P693*(J693-(J693*L693)-((J693-(J693*L693))*M693))</f>
        <v>13200000</v>
      </c>
      <c r="S693" s="8">
        <f t="shared" si="257"/>
        <v>11891891.891891891</v>
      </c>
    </row>
    <row r="695" spans="1:19">
      <c r="A695" s="15" t="s">
        <v>513</v>
      </c>
    </row>
    <row r="696" spans="1:19" s="19" customFormat="1">
      <c r="A696" s="18" t="s">
        <v>807</v>
      </c>
      <c r="B696" s="19" t="s">
        <v>18</v>
      </c>
      <c r="C696" s="20">
        <v>984</v>
      </c>
      <c r="D696" s="21" t="s">
        <v>19</v>
      </c>
      <c r="E696" s="26">
        <v>2</v>
      </c>
      <c r="F696" s="22">
        <v>48</v>
      </c>
      <c r="G696" s="23" t="s">
        <v>33</v>
      </c>
      <c r="H696" s="22">
        <v>12</v>
      </c>
      <c r="I696" s="23" t="s">
        <v>19</v>
      </c>
      <c r="J696" s="24">
        <v>2350</v>
      </c>
      <c r="K696" s="21" t="s">
        <v>19</v>
      </c>
      <c r="L696" s="25">
        <v>0.1</v>
      </c>
      <c r="M696" s="25">
        <v>0.05</v>
      </c>
      <c r="N696" s="22"/>
      <c r="O696" s="23" t="s">
        <v>19</v>
      </c>
      <c r="P696" s="20">
        <f>(C696+(E696*F696*H696))-N696</f>
        <v>2136</v>
      </c>
      <c r="Q696" s="23" t="s">
        <v>19</v>
      </c>
      <c r="R696" s="24">
        <f>P696*(J696-(J696*L696)-((J696-(J696*L696))*M696))</f>
        <v>4291758</v>
      </c>
      <c r="S696" s="8">
        <f>R696/1.11</f>
        <v>3866448.6486486485</v>
      </c>
    </row>
    <row r="697" spans="1:19" s="19" customFormat="1">
      <c r="A697" s="18" t="s">
        <v>807</v>
      </c>
      <c r="B697" s="19" t="s">
        <v>18</v>
      </c>
      <c r="C697" s="20">
        <v>192</v>
      </c>
      <c r="D697" s="21" t="s">
        <v>19</v>
      </c>
      <c r="E697" s="26">
        <v>1</v>
      </c>
      <c r="F697" s="22">
        <v>48</v>
      </c>
      <c r="G697" s="23" t="s">
        <v>33</v>
      </c>
      <c r="H697" s="22">
        <v>12</v>
      </c>
      <c r="I697" s="23" t="s">
        <v>19</v>
      </c>
      <c r="J697" s="24">
        <v>2350</v>
      </c>
      <c r="K697" s="21" t="s">
        <v>19</v>
      </c>
      <c r="L697" s="25">
        <v>0.125</v>
      </c>
      <c r="M697" s="25">
        <v>0.05</v>
      </c>
      <c r="N697" s="22"/>
      <c r="O697" s="23" t="s">
        <v>19</v>
      </c>
      <c r="P697" s="20">
        <f>(C697+(E697*F697*H697))-N697</f>
        <v>768</v>
      </c>
      <c r="Q697" s="23" t="s">
        <v>19</v>
      </c>
      <c r="R697" s="24">
        <f>P697*(J697-(J697*L697)-((J697-(J697*L697))*M697))</f>
        <v>1500240</v>
      </c>
      <c r="S697" s="8">
        <f>R697/1.11</f>
        <v>1351567.5675675673</v>
      </c>
    </row>
    <row r="698" spans="1:19" s="19" customFormat="1">
      <c r="A698" s="18"/>
      <c r="C698" s="20"/>
      <c r="D698" s="21"/>
      <c r="E698" s="26"/>
      <c r="F698" s="22"/>
      <c r="G698" s="23"/>
      <c r="H698" s="22"/>
      <c r="I698" s="23"/>
      <c r="J698" s="24"/>
      <c r="K698" s="21"/>
      <c r="L698" s="25"/>
      <c r="M698" s="25"/>
      <c r="N698" s="22"/>
      <c r="O698" s="23"/>
      <c r="P698" s="20"/>
      <c r="Q698" s="23"/>
      <c r="R698" s="24"/>
      <c r="S698" s="8"/>
    </row>
    <row r="699" spans="1:19" s="80" customFormat="1">
      <c r="A699" s="148" t="s">
        <v>514</v>
      </c>
      <c r="B699" s="80" t="s">
        <v>25</v>
      </c>
      <c r="C699" s="81"/>
      <c r="D699" s="82" t="s">
        <v>40</v>
      </c>
      <c r="E699" s="83"/>
      <c r="F699" s="84">
        <v>1</v>
      </c>
      <c r="G699" s="85" t="s">
        <v>20</v>
      </c>
      <c r="H699" s="84">
        <v>60</v>
      </c>
      <c r="I699" s="85" t="s">
        <v>40</v>
      </c>
      <c r="J699" s="16">
        <f>2160000/60</f>
        <v>36000</v>
      </c>
      <c r="K699" s="82" t="s">
        <v>40</v>
      </c>
      <c r="L699" s="86"/>
      <c r="M699" s="86">
        <v>0.17</v>
      </c>
      <c r="N699" s="84"/>
      <c r="O699" s="85" t="s">
        <v>40</v>
      </c>
      <c r="P699" s="81">
        <f>(C699+(E699*F699*H699))-N699</f>
        <v>0</v>
      </c>
      <c r="Q699" s="85" t="s">
        <v>40</v>
      </c>
      <c r="R699" s="16">
        <f>P699*(J699-(J699*L699)-((J699-(J699*L699))*M699))</f>
        <v>0</v>
      </c>
      <c r="S699" s="16">
        <f>R699/1.11</f>
        <v>0</v>
      </c>
    </row>
    <row r="700" spans="1:19">
      <c r="A700" s="55" t="s">
        <v>515</v>
      </c>
      <c r="B700" s="2" t="s">
        <v>25</v>
      </c>
      <c r="C700" s="3">
        <v>175</v>
      </c>
      <c r="D700" s="4" t="s">
        <v>40</v>
      </c>
      <c r="F700" s="6">
        <v>12</v>
      </c>
      <c r="G700" s="7" t="s">
        <v>84</v>
      </c>
      <c r="H700" s="6">
        <v>12</v>
      </c>
      <c r="I700" s="7" t="s">
        <v>40</v>
      </c>
      <c r="J700" s="8">
        <f>1555200/144</f>
        <v>10800</v>
      </c>
      <c r="K700" s="4" t="s">
        <v>40</v>
      </c>
      <c r="L700" s="9">
        <v>0.05</v>
      </c>
      <c r="M700" s="9">
        <v>0.17</v>
      </c>
      <c r="O700" s="7" t="s">
        <v>40</v>
      </c>
      <c r="P700" s="3">
        <f>(C700+(E700*F700*H700))-N700</f>
        <v>175</v>
      </c>
      <c r="Q700" s="7" t="s">
        <v>40</v>
      </c>
      <c r="R700" s="8">
        <f>P700*(J700-(J700*L700)-((J700-(J700*L700))*M700))</f>
        <v>1490264.9999999998</v>
      </c>
      <c r="S700" s="8">
        <f>R700/1.11</f>
        <v>1342581.0810810807</v>
      </c>
    </row>
    <row r="701" spans="1:19">
      <c r="A701" s="49"/>
    </row>
    <row r="702" spans="1:19">
      <c r="A702" s="15" t="s">
        <v>516</v>
      </c>
    </row>
    <row r="703" spans="1:19" s="80" customFormat="1">
      <c r="A703" s="148" t="s">
        <v>517</v>
      </c>
      <c r="B703" s="80" t="s">
        <v>25</v>
      </c>
      <c r="C703" s="81"/>
      <c r="D703" s="82" t="s">
        <v>40</v>
      </c>
      <c r="E703" s="83"/>
      <c r="F703" s="84">
        <v>1</v>
      </c>
      <c r="G703" s="85" t="s">
        <v>20</v>
      </c>
      <c r="H703" s="84">
        <v>60</v>
      </c>
      <c r="I703" s="85" t="s">
        <v>40</v>
      </c>
      <c r="J703" s="16">
        <f>2268000/60</f>
        <v>37800</v>
      </c>
      <c r="K703" s="82" t="s">
        <v>40</v>
      </c>
      <c r="L703" s="86"/>
      <c r="M703" s="86">
        <v>0.17</v>
      </c>
      <c r="N703" s="84"/>
      <c r="O703" s="85" t="s">
        <v>40</v>
      </c>
      <c r="P703" s="81">
        <f>(C703+(E703*F703*H703))-N703</f>
        <v>0</v>
      </c>
      <c r="Q703" s="85" t="s">
        <v>40</v>
      </c>
      <c r="R703" s="16">
        <f>P703*(J703-(J703*L703)-((J703-(J703*L703))*M703))</f>
        <v>0</v>
      </c>
      <c r="S703" s="16">
        <f>R703/1.11</f>
        <v>0</v>
      </c>
    </row>
    <row r="705" spans="1:19" s="19" customFormat="1">
      <c r="A705" s="31" t="s">
        <v>740</v>
      </c>
      <c r="B705" s="32" t="s">
        <v>598</v>
      </c>
      <c r="C705" s="33">
        <v>12</v>
      </c>
      <c r="D705" s="34" t="s">
        <v>152</v>
      </c>
      <c r="E705" s="35"/>
      <c r="F705" s="36">
        <v>1</v>
      </c>
      <c r="G705" s="37" t="s">
        <v>152</v>
      </c>
      <c r="H705" s="36">
        <v>1</v>
      </c>
      <c r="I705" s="37" t="s">
        <v>152</v>
      </c>
      <c r="J705" s="38">
        <v>4000</v>
      </c>
      <c r="K705" s="34" t="s">
        <v>19</v>
      </c>
      <c r="L705" s="39"/>
      <c r="M705" s="39">
        <v>1.0999999999999999E-2</v>
      </c>
      <c r="N705" s="36"/>
      <c r="O705" s="37" t="s">
        <v>19</v>
      </c>
      <c r="P705" s="33">
        <f>(C705+(E705*F705*H705))-N705</f>
        <v>12</v>
      </c>
      <c r="Q705" s="37" t="s">
        <v>19</v>
      </c>
      <c r="R705" s="38">
        <f>P705*(J705-(J705*L705)-((J705-(J705*L705))*M705))</f>
        <v>47472</v>
      </c>
      <c r="S705" s="38">
        <f t="shared" ref="S705" si="259">R705/1.11</f>
        <v>42767.567567567567</v>
      </c>
    </row>
    <row r="706" spans="1:19" s="19" customFormat="1">
      <c r="A706" s="31" t="s">
        <v>875</v>
      </c>
      <c r="B706" s="32" t="s">
        <v>598</v>
      </c>
      <c r="C706" s="33">
        <v>48</v>
      </c>
      <c r="D706" s="34" t="s">
        <v>152</v>
      </c>
      <c r="E706" s="35"/>
      <c r="F706" s="36">
        <v>1</v>
      </c>
      <c r="G706" s="37" t="s">
        <v>152</v>
      </c>
      <c r="H706" s="36">
        <v>1</v>
      </c>
      <c r="I706" s="37" t="s">
        <v>152</v>
      </c>
      <c r="J706" s="38"/>
      <c r="K706" s="34" t="s">
        <v>19</v>
      </c>
      <c r="L706" s="39"/>
      <c r="M706" s="39">
        <v>1.0999999999999999E-2</v>
      </c>
      <c r="N706" s="36"/>
      <c r="O706" s="37" t="s">
        <v>19</v>
      </c>
      <c r="P706" s="33">
        <f>(C706+(E706*F706*H706))-N706</f>
        <v>48</v>
      </c>
      <c r="Q706" s="37" t="s">
        <v>19</v>
      </c>
      <c r="R706" s="38">
        <f>P706*(J706-(J706*L706)-((J706-(J706*L706))*M706))</f>
        <v>0</v>
      </c>
      <c r="S706" s="38">
        <f t="shared" ref="S706" si="260">R706/1.11</f>
        <v>0</v>
      </c>
    </row>
    <row r="707" spans="1:19">
      <c r="A707" s="49"/>
    </row>
    <row r="708" spans="1:19">
      <c r="A708" s="15" t="s">
        <v>518</v>
      </c>
    </row>
    <row r="709" spans="1:19" s="89" customFormat="1">
      <c r="A709" s="88" t="s">
        <v>519</v>
      </c>
      <c r="B709" s="89" t="s">
        <v>18</v>
      </c>
      <c r="C709" s="87"/>
      <c r="D709" s="90" t="s">
        <v>152</v>
      </c>
      <c r="E709" s="91"/>
      <c r="F709" s="92">
        <v>8</v>
      </c>
      <c r="G709" s="93" t="s">
        <v>33</v>
      </c>
      <c r="H709" s="92">
        <v>12</v>
      </c>
      <c r="I709" s="93" t="s">
        <v>152</v>
      </c>
      <c r="J709" s="94">
        <v>17000</v>
      </c>
      <c r="K709" s="90" t="s">
        <v>152</v>
      </c>
      <c r="L709" s="95">
        <v>0.125</v>
      </c>
      <c r="M709" s="95">
        <v>0.05</v>
      </c>
      <c r="N709" s="92"/>
      <c r="O709" s="93" t="s">
        <v>152</v>
      </c>
      <c r="P709" s="87">
        <f>(C709+(E709*F709*H709))-N709</f>
        <v>0</v>
      </c>
      <c r="Q709" s="93" t="s">
        <v>152</v>
      </c>
      <c r="R709" s="94">
        <f>P709*(J709-(J709*L709)-((J709-(J709*L709))*M709))</f>
        <v>0</v>
      </c>
      <c r="S709" s="16">
        <f>R709/1.11</f>
        <v>0</v>
      </c>
    </row>
    <row r="710" spans="1:19" s="89" customFormat="1">
      <c r="A710" s="88" t="s">
        <v>520</v>
      </c>
      <c r="B710" s="89" t="s">
        <v>18</v>
      </c>
      <c r="C710" s="87"/>
      <c r="D710" s="90" t="s">
        <v>152</v>
      </c>
      <c r="E710" s="91"/>
      <c r="F710" s="92">
        <v>8</v>
      </c>
      <c r="G710" s="93" t="s">
        <v>33</v>
      </c>
      <c r="H710" s="92">
        <v>6</v>
      </c>
      <c r="I710" s="93" t="s">
        <v>152</v>
      </c>
      <c r="J710" s="94">
        <v>34000</v>
      </c>
      <c r="K710" s="90" t="s">
        <v>152</v>
      </c>
      <c r="L710" s="95">
        <v>0.125</v>
      </c>
      <c r="M710" s="95">
        <v>0.05</v>
      </c>
      <c r="N710" s="92"/>
      <c r="O710" s="93" t="s">
        <v>152</v>
      </c>
      <c r="P710" s="87">
        <f>(C710+(E710*F710*H710))-N710</f>
        <v>0</v>
      </c>
      <c r="Q710" s="93" t="s">
        <v>152</v>
      </c>
      <c r="R710" s="94">
        <f>P710*(J710-(J710*L710)-((J710-(J710*L710))*M710))</f>
        <v>0</v>
      </c>
      <c r="S710" s="16">
        <f>R710/1.11</f>
        <v>0</v>
      </c>
    </row>
    <row r="711" spans="1:19" s="19" customFormat="1">
      <c r="A711" s="18" t="s">
        <v>521</v>
      </c>
      <c r="B711" s="19" t="s">
        <v>18</v>
      </c>
      <c r="C711" s="20">
        <v>62</v>
      </c>
      <c r="D711" s="21" t="s">
        <v>152</v>
      </c>
      <c r="E711" s="26">
        <v>1</v>
      </c>
      <c r="F711" s="22">
        <v>6</v>
      </c>
      <c r="G711" s="23" t="s">
        <v>33</v>
      </c>
      <c r="H711" s="22">
        <v>24</v>
      </c>
      <c r="I711" s="23" t="s">
        <v>152</v>
      </c>
      <c r="J711" s="24">
        <v>31500</v>
      </c>
      <c r="K711" s="21" t="s">
        <v>152</v>
      </c>
      <c r="L711" s="25">
        <v>0.125</v>
      </c>
      <c r="M711" s="25">
        <v>0.05</v>
      </c>
      <c r="N711" s="22"/>
      <c r="O711" s="23" t="s">
        <v>152</v>
      </c>
      <c r="P711" s="20">
        <f>(C711+(E711*F711*H711))-N711</f>
        <v>206</v>
      </c>
      <c r="Q711" s="23" t="s">
        <v>152</v>
      </c>
      <c r="R711" s="24">
        <f>P711*(J711-(J711*L711)-((J711-(J711*L711))*M711))</f>
        <v>5393981.25</v>
      </c>
      <c r="S711" s="8">
        <f>R711/1.11</f>
        <v>4859442.5675675673</v>
      </c>
    </row>
    <row r="712" spans="1:19" s="89" customFormat="1">
      <c r="A712" s="88" t="s">
        <v>522</v>
      </c>
      <c r="B712" s="89" t="s">
        <v>18</v>
      </c>
      <c r="C712" s="87"/>
      <c r="D712" s="90" t="s">
        <v>152</v>
      </c>
      <c r="E712" s="91"/>
      <c r="F712" s="92">
        <v>6</v>
      </c>
      <c r="G712" s="93" t="s">
        <v>33</v>
      </c>
      <c r="H712" s="92">
        <v>12</v>
      </c>
      <c r="I712" s="93" t="s">
        <v>152</v>
      </c>
      <c r="J712" s="94">
        <v>63000</v>
      </c>
      <c r="K712" s="90" t="s">
        <v>152</v>
      </c>
      <c r="L712" s="95">
        <v>0.125</v>
      </c>
      <c r="M712" s="95">
        <v>0.05</v>
      </c>
      <c r="N712" s="92"/>
      <c r="O712" s="93" t="s">
        <v>152</v>
      </c>
      <c r="P712" s="87">
        <f>(C712+(E712*F712*H712))-N712</f>
        <v>0</v>
      </c>
      <c r="Q712" s="93" t="s">
        <v>152</v>
      </c>
      <c r="R712" s="94">
        <f>P712*(J712-(J712*L712)-((J712-(J712*L712))*M712))</f>
        <v>0</v>
      </c>
      <c r="S712" s="16">
        <f>R712/1.11</f>
        <v>0</v>
      </c>
    </row>
    <row r="713" spans="1:19" s="89" customFormat="1">
      <c r="A713" s="88" t="s">
        <v>523</v>
      </c>
      <c r="B713" s="89" t="s">
        <v>18</v>
      </c>
      <c r="C713" s="87"/>
      <c r="D713" s="90" t="s">
        <v>152</v>
      </c>
      <c r="E713" s="91"/>
      <c r="F713" s="92">
        <v>6</v>
      </c>
      <c r="G713" s="93" t="s">
        <v>33</v>
      </c>
      <c r="H713" s="92">
        <v>24</v>
      </c>
      <c r="I713" s="93" t="s">
        <v>152</v>
      </c>
      <c r="J713" s="94"/>
      <c r="K713" s="90" t="s">
        <v>152</v>
      </c>
      <c r="L713" s="95">
        <v>0.1</v>
      </c>
      <c r="M713" s="95">
        <v>0.05</v>
      </c>
      <c r="N713" s="92"/>
      <c r="O713" s="93" t="s">
        <v>152</v>
      </c>
      <c r="P713" s="87">
        <f>(C713+(E713*F713*H713))-N713</f>
        <v>0</v>
      </c>
      <c r="Q713" s="93" t="s">
        <v>152</v>
      </c>
      <c r="R713" s="94">
        <f>P713*(J713-(J713*L713)-((J713-(J713*L713))*M713))</f>
        <v>0</v>
      </c>
      <c r="S713" s="16">
        <f>R713/1.11</f>
        <v>0</v>
      </c>
    </row>
    <row r="714" spans="1:19" s="89" customFormat="1">
      <c r="A714" s="88"/>
      <c r="C714" s="87"/>
      <c r="D714" s="90"/>
      <c r="E714" s="91"/>
      <c r="F714" s="92"/>
      <c r="G714" s="93"/>
      <c r="H714" s="92"/>
      <c r="I714" s="93"/>
      <c r="J714" s="94"/>
      <c r="K714" s="90"/>
      <c r="L714" s="95"/>
      <c r="M714" s="95"/>
      <c r="N714" s="92"/>
      <c r="O714" s="93"/>
      <c r="P714" s="87"/>
      <c r="Q714" s="93"/>
      <c r="R714" s="94"/>
      <c r="S714" s="16"/>
    </row>
    <row r="715" spans="1:19" s="106" customFormat="1">
      <c r="A715" s="98" t="s">
        <v>879</v>
      </c>
      <c r="B715" s="106" t="s">
        <v>25</v>
      </c>
      <c r="C715" s="107"/>
      <c r="D715" s="108" t="s">
        <v>152</v>
      </c>
      <c r="E715" s="109">
        <v>5</v>
      </c>
      <c r="F715" s="110">
        <v>6</v>
      </c>
      <c r="G715" s="111" t="s">
        <v>33</v>
      </c>
      <c r="H715" s="110">
        <v>24</v>
      </c>
      <c r="I715" s="111" t="s">
        <v>152</v>
      </c>
      <c r="J715" s="112">
        <v>25000</v>
      </c>
      <c r="K715" s="108" t="s">
        <v>152</v>
      </c>
      <c r="L715" s="113">
        <v>0.05</v>
      </c>
      <c r="M715" s="113">
        <v>0.17</v>
      </c>
      <c r="N715" s="110"/>
      <c r="O715" s="111" t="s">
        <v>152</v>
      </c>
      <c r="P715" s="107">
        <f>(C715+(E715*F715*H715))-N715</f>
        <v>720</v>
      </c>
      <c r="Q715" s="111" t="s">
        <v>152</v>
      </c>
      <c r="R715" s="112">
        <f>P715*(J715-(J715*L715)-((J715-(J715*L715))*M715))</f>
        <v>14193000</v>
      </c>
      <c r="S715" s="112">
        <f>R715/1.11</f>
        <v>12786486.486486485</v>
      </c>
    </row>
    <row r="717" spans="1:19" ht="15.75">
      <c r="A717" s="14" t="s">
        <v>423</v>
      </c>
    </row>
    <row r="718" spans="1:19" s="19" customFormat="1">
      <c r="A718" s="18" t="s">
        <v>424</v>
      </c>
      <c r="B718" s="19" t="s">
        <v>18</v>
      </c>
      <c r="C718" s="20">
        <v>59</v>
      </c>
      <c r="D718" s="21" t="s">
        <v>84</v>
      </c>
      <c r="E718" s="26">
        <v>65</v>
      </c>
      <c r="F718" s="22">
        <v>1</v>
      </c>
      <c r="G718" s="23" t="s">
        <v>20</v>
      </c>
      <c r="H718" s="22">
        <v>30</v>
      </c>
      <c r="I718" s="23" t="s">
        <v>84</v>
      </c>
      <c r="J718" s="24">
        <v>104400</v>
      </c>
      <c r="K718" s="21" t="s">
        <v>84</v>
      </c>
      <c r="L718" s="25">
        <v>0.125</v>
      </c>
      <c r="M718" s="25">
        <v>0.05</v>
      </c>
      <c r="N718" s="22"/>
      <c r="O718" s="23" t="s">
        <v>84</v>
      </c>
      <c r="P718" s="20">
        <f t="shared" ref="P718:P724" si="261">(C718+(E718*F718*H718))-N718</f>
        <v>2009</v>
      </c>
      <c r="Q718" s="23" t="s">
        <v>84</v>
      </c>
      <c r="R718" s="24">
        <f t="shared" ref="R718:R724" si="262">P718*(J718-(J718*L718)-((J718-(J718*L718))*M718))</f>
        <v>174346042.5</v>
      </c>
      <c r="S718" s="24">
        <f t="shared" si="257"/>
        <v>157068506.75675675</v>
      </c>
    </row>
    <row r="719" spans="1:19" s="89" customFormat="1">
      <c r="A719" s="88" t="s">
        <v>655</v>
      </c>
      <c r="B719" s="89" t="s">
        <v>18</v>
      </c>
      <c r="C719" s="87"/>
      <c r="D719" s="90" t="s">
        <v>84</v>
      </c>
      <c r="E719" s="91"/>
      <c r="F719" s="92">
        <v>1</v>
      </c>
      <c r="G719" s="93" t="s">
        <v>20</v>
      </c>
      <c r="H719" s="92">
        <v>30</v>
      </c>
      <c r="I719" s="93" t="s">
        <v>84</v>
      </c>
      <c r="J719" s="94">
        <v>102000</v>
      </c>
      <c r="K719" s="90" t="s">
        <v>84</v>
      </c>
      <c r="L719" s="95">
        <v>0.125</v>
      </c>
      <c r="M719" s="95">
        <v>0.05</v>
      </c>
      <c r="N719" s="92"/>
      <c r="O719" s="93" t="s">
        <v>84</v>
      </c>
      <c r="P719" s="87">
        <f t="shared" si="261"/>
        <v>0</v>
      </c>
      <c r="Q719" s="93" t="s">
        <v>84</v>
      </c>
      <c r="R719" s="94">
        <f t="shared" si="262"/>
        <v>0</v>
      </c>
      <c r="S719" s="94">
        <f t="shared" si="257"/>
        <v>0</v>
      </c>
    </row>
    <row r="720" spans="1:19" s="80" customFormat="1">
      <c r="A720" s="79" t="s">
        <v>425</v>
      </c>
      <c r="B720" s="80" t="s">
        <v>18</v>
      </c>
      <c r="C720" s="81"/>
      <c r="D720" s="82" t="s">
        <v>84</v>
      </c>
      <c r="E720" s="83"/>
      <c r="F720" s="84">
        <v>1</v>
      </c>
      <c r="G720" s="85" t="s">
        <v>20</v>
      </c>
      <c r="H720" s="84">
        <v>30</v>
      </c>
      <c r="I720" s="85" t="s">
        <v>84</v>
      </c>
      <c r="J720" s="16">
        <v>99000</v>
      </c>
      <c r="K720" s="82" t="s">
        <v>84</v>
      </c>
      <c r="L720" s="86">
        <v>0.125</v>
      </c>
      <c r="M720" s="86">
        <v>0.05</v>
      </c>
      <c r="N720" s="84"/>
      <c r="O720" s="85" t="s">
        <v>84</v>
      </c>
      <c r="P720" s="81">
        <f t="shared" si="261"/>
        <v>0</v>
      </c>
      <c r="Q720" s="85" t="s">
        <v>84</v>
      </c>
      <c r="R720" s="16">
        <f t="shared" si="262"/>
        <v>0</v>
      </c>
      <c r="S720" s="16">
        <f t="shared" si="257"/>
        <v>0</v>
      </c>
    </row>
    <row r="721" spans="1:19">
      <c r="A721" s="17" t="s">
        <v>426</v>
      </c>
      <c r="B721" s="2" t="s">
        <v>18</v>
      </c>
      <c r="D721" s="4" t="s">
        <v>84</v>
      </c>
      <c r="E721" s="5">
        <v>2</v>
      </c>
      <c r="F721" s="6">
        <v>1</v>
      </c>
      <c r="G721" s="7" t="s">
        <v>20</v>
      </c>
      <c r="H721" s="6">
        <v>30</v>
      </c>
      <c r="I721" s="7" t="s">
        <v>84</v>
      </c>
      <c r="J721" s="8">
        <v>96000</v>
      </c>
      <c r="K721" s="4" t="s">
        <v>84</v>
      </c>
      <c r="L721" s="9">
        <v>0.125</v>
      </c>
      <c r="M721" s="9">
        <v>0.05</v>
      </c>
      <c r="O721" s="7" t="s">
        <v>84</v>
      </c>
      <c r="P721" s="3">
        <f t="shared" si="261"/>
        <v>60</v>
      </c>
      <c r="Q721" s="7" t="s">
        <v>84</v>
      </c>
      <c r="R721" s="8">
        <f t="shared" si="262"/>
        <v>4788000</v>
      </c>
      <c r="S721" s="8">
        <f t="shared" si="257"/>
        <v>4313513.5135135129</v>
      </c>
    </row>
    <row r="722" spans="1:19" s="80" customFormat="1">
      <c r="A722" s="79" t="s">
        <v>427</v>
      </c>
      <c r="B722" s="80" t="s">
        <v>18</v>
      </c>
      <c r="C722" s="81"/>
      <c r="D722" s="82" t="s">
        <v>84</v>
      </c>
      <c r="E722" s="83"/>
      <c r="F722" s="84">
        <v>1</v>
      </c>
      <c r="G722" s="85" t="s">
        <v>20</v>
      </c>
      <c r="H722" s="84">
        <v>30</v>
      </c>
      <c r="I722" s="85" t="s">
        <v>84</v>
      </c>
      <c r="J722" s="16">
        <v>109000</v>
      </c>
      <c r="K722" s="82" t="s">
        <v>84</v>
      </c>
      <c r="L722" s="86">
        <v>0.125</v>
      </c>
      <c r="M722" s="86">
        <v>0.05</v>
      </c>
      <c r="N722" s="84"/>
      <c r="O722" s="85" t="s">
        <v>84</v>
      </c>
      <c r="P722" s="81">
        <f t="shared" si="261"/>
        <v>0</v>
      </c>
      <c r="Q722" s="85" t="s">
        <v>84</v>
      </c>
      <c r="R722" s="16">
        <f t="shared" si="262"/>
        <v>0</v>
      </c>
      <c r="S722" s="16">
        <f t="shared" si="257"/>
        <v>0</v>
      </c>
    </row>
    <row r="723" spans="1:19" s="80" customFormat="1">
      <c r="A723" s="79" t="s">
        <v>798</v>
      </c>
      <c r="B723" s="80" t="s">
        <v>18</v>
      </c>
      <c r="C723" s="81"/>
      <c r="D723" s="82" t="s">
        <v>84</v>
      </c>
      <c r="E723" s="83"/>
      <c r="F723" s="84">
        <v>1</v>
      </c>
      <c r="G723" s="85" t="s">
        <v>20</v>
      </c>
      <c r="H723" s="84">
        <v>30</v>
      </c>
      <c r="I723" s="85" t="s">
        <v>84</v>
      </c>
      <c r="J723" s="16">
        <v>144000</v>
      </c>
      <c r="K723" s="82" t="s">
        <v>84</v>
      </c>
      <c r="L723" s="86">
        <v>0.125</v>
      </c>
      <c r="M723" s="86">
        <v>0.05</v>
      </c>
      <c r="N723" s="84"/>
      <c r="O723" s="85" t="s">
        <v>84</v>
      </c>
      <c r="P723" s="81">
        <f t="shared" si="261"/>
        <v>0</v>
      </c>
      <c r="Q723" s="85" t="s">
        <v>84</v>
      </c>
      <c r="R723" s="16">
        <f t="shared" si="262"/>
        <v>0</v>
      </c>
      <c r="S723" s="16">
        <f t="shared" si="257"/>
        <v>0</v>
      </c>
    </row>
    <row r="724" spans="1:19" s="80" customFormat="1">
      <c r="A724" s="79" t="s">
        <v>734</v>
      </c>
      <c r="B724" s="80" t="s">
        <v>18</v>
      </c>
      <c r="C724" s="81"/>
      <c r="D724" s="82" t="s">
        <v>84</v>
      </c>
      <c r="E724" s="83"/>
      <c r="F724" s="84">
        <v>1</v>
      </c>
      <c r="G724" s="85" t="s">
        <v>20</v>
      </c>
      <c r="H724" s="84">
        <v>30</v>
      </c>
      <c r="I724" s="85" t="s">
        <v>84</v>
      </c>
      <c r="J724" s="16">
        <v>144000</v>
      </c>
      <c r="K724" s="82" t="s">
        <v>84</v>
      </c>
      <c r="L724" s="86">
        <v>0.125</v>
      </c>
      <c r="M724" s="86">
        <v>0.05</v>
      </c>
      <c r="N724" s="84"/>
      <c r="O724" s="85" t="s">
        <v>84</v>
      </c>
      <c r="P724" s="81">
        <f t="shared" si="261"/>
        <v>0</v>
      </c>
      <c r="Q724" s="85" t="s">
        <v>84</v>
      </c>
      <c r="R724" s="16">
        <f t="shared" si="262"/>
        <v>0</v>
      </c>
      <c r="S724" s="16">
        <f t="shared" si="257"/>
        <v>0</v>
      </c>
    </row>
    <row r="726" spans="1:19" s="17" customFormat="1">
      <c r="A726" s="49" t="s">
        <v>753</v>
      </c>
      <c r="B726" s="17" t="s">
        <v>25</v>
      </c>
      <c r="C726" s="60">
        <v>5</v>
      </c>
      <c r="D726" s="61" t="s">
        <v>84</v>
      </c>
      <c r="E726" s="41"/>
      <c r="F726" s="62">
        <v>1</v>
      </c>
      <c r="G726" s="63" t="s">
        <v>20</v>
      </c>
      <c r="H726" s="62">
        <v>20</v>
      </c>
      <c r="I726" s="63" t="s">
        <v>84</v>
      </c>
      <c r="J726" s="64">
        <f>2448000/20</f>
        <v>122400</v>
      </c>
      <c r="K726" s="61" t="s">
        <v>84</v>
      </c>
      <c r="L726" s="65"/>
      <c r="M726" s="65">
        <v>0.17</v>
      </c>
      <c r="N726" s="62"/>
      <c r="O726" s="63" t="s">
        <v>84</v>
      </c>
      <c r="P726" s="60">
        <f t="shared" ref="P726:P744" si="263">(C726+(E726*F726*H726))-N726</f>
        <v>5</v>
      </c>
      <c r="Q726" s="63" t="s">
        <v>84</v>
      </c>
      <c r="R726" s="64">
        <f t="shared" ref="R726:R744" si="264">P726*(J726-(J726*L726)-((J726-(J726*L726))*M726))</f>
        <v>507960</v>
      </c>
      <c r="S726" s="8">
        <f t="shared" ref="S726:S727" si="265">R726/1.11</f>
        <v>457621.6216216216</v>
      </c>
    </row>
    <row r="727" spans="1:19" s="18" customFormat="1">
      <c r="A727" s="49" t="s">
        <v>428</v>
      </c>
      <c r="B727" s="18" t="s">
        <v>25</v>
      </c>
      <c r="C727" s="50">
        <v>40</v>
      </c>
      <c r="D727" s="51" t="s">
        <v>84</v>
      </c>
      <c r="E727" s="52">
        <v>1</v>
      </c>
      <c r="F727" s="53">
        <v>1</v>
      </c>
      <c r="G727" s="48" t="s">
        <v>20</v>
      </c>
      <c r="H727" s="53">
        <v>20</v>
      </c>
      <c r="I727" s="48" t="s">
        <v>84</v>
      </c>
      <c r="J727" s="29">
        <v>115200</v>
      </c>
      <c r="K727" s="51" t="s">
        <v>84</v>
      </c>
      <c r="L727" s="54"/>
      <c r="M727" s="54">
        <v>0.17</v>
      </c>
      <c r="N727" s="53"/>
      <c r="O727" s="48" t="s">
        <v>84</v>
      </c>
      <c r="P727" s="50">
        <f t="shared" ref="P727" si="266">(C727+(E727*F727*H727))-N727</f>
        <v>60</v>
      </c>
      <c r="Q727" s="48" t="s">
        <v>84</v>
      </c>
      <c r="R727" s="29">
        <f t="shared" ref="R727" si="267">P727*(J727-(J727*L727)-((J727-(J727*L727))*M727))</f>
        <v>5736960</v>
      </c>
      <c r="S727" s="24">
        <f t="shared" si="265"/>
        <v>5168432.4324324317</v>
      </c>
    </row>
    <row r="728" spans="1:19" s="79" customFormat="1">
      <c r="A728" s="145" t="s">
        <v>745</v>
      </c>
      <c r="B728" s="79" t="s">
        <v>25</v>
      </c>
      <c r="C728" s="154"/>
      <c r="D728" s="155" t="s">
        <v>84</v>
      </c>
      <c r="E728" s="156"/>
      <c r="F728" s="157">
        <v>1</v>
      </c>
      <c r="G728" s="158" t="s">
        <v>20</v>
      </c>
      <c r="H728" s="157">
        <v>20</v>
      </c>
      <c r="I728" s="158" t="s">
        <v>84</v>
      </c>
      <c r="J728" s="159">
        <f>2880000/20</f>
        <v>144000</v>
      </c>
      <c r="K728" s="155" t="s">
        <v>84</v>
      </c>
      <c r="L728" s="160"/>
      <c r="M728" s="160">
        <v>0.17</v>
      </c>
      <c r="N728" s="157"/>
      <c r="O728" s="158" t="s">
        <v>84</v>
      </c>
      <c r="P728" s="154">
        <f t="shared" si="263"/>
        <v>0</v>
      </c>
      <c r="Q728" s="158" t="s">
        <v>84</v>
      </c>
      <c r="R728" s="159">
        <f t="shared" si="264"/>
        <v>0</v>
      </c>
      <c r="S728" s="16">
        <f t="shared" si="257"/>
        <v>0</v>
      </c>
    </row>
    <row r="729" spans="1:19" s="17" customFormat="1">
      <c r="A729" s="49" t="s">
        <v>658</v>
      </c>
      <c r="B729" s="17" t="s">
        <v>25</v>
      </c>
      <c r="C729" s="60">
        <v>60</v>
      </c>
      <c r="D729" s="61" t="s">
        <v>84</v>
      </c>
      <c r="E729" s="41"/>
      <c r="F729" s="62">
        <v>1</v>
      </c>
      <c r="G729" s="63" t="s">
        <v>20</v>
      </c>
      <c r="H729" s="62">
        <v>20</v>
      </c>
      <c r="I729" s="63" t="s">
        <v>84</v>
      </c>
      <c r="J729" s="64">
        <f>2448000/20</f>
        <v>122400</v>
      </c>
      <c r="K729" s="61" t="s">
        <v>84</v>
      </c>
      <c r="L729" s="65"/>
      <c r="M729" s="65">
        <v>0.17</v>
      </c>
      <c r="N729" s="62"/>
      <c r="O729" s="63" t="s">
        <v>84</v>
      </c>
      <c r="P729" s="60">
        <f t="shared" si="263"/>
        <v>60</v>
      </c>
      <c r="Q729" s="63" t="s">
        <v>84</v>
      </c>
      <c r="R729" s="64">
        <f t="shared" si="264"/>
        <v>6095520</v>
      </c>
      <c r="S729" s="8">
        <f t="shared" si="257"/>
        <v>5491459.4594594594</v>
      </c>
    </row>
    <row r="730" spans="1:19" s="17" customFormat="1">
      <c r="A730" s="49" t="s">
        <v>429</v>
      </c>
      <c r="B730" s="17" t="s">
        <v>25</v>
      </c>
      <c r="C730" s="60">
        <v>20</v>
      </c>
      <c r="D730" s="61" t="s">
        <v>84</v>
      </c>
      <c r="E730" s="41">
        <v>13</v>
      </c>
      <c r="F730" s="62">
        <v>1</v>
      </c>
      <c r="G730" s="63" t="s">
        <v>20</v>
      </c>
      <c r="H730" s="62">
        <v>20</v>
      </c>
      <c r="I730" s="63" t="s">
        <v>84</v>
      </c>
      <c r="J730" s="64">
        <f>2112000/20</f>
        <v>105600</v>
      </c>
      <c r="K730" s="61" t="s">
        <v>84</v>
      </c>
      <c r="L730" s="65"/>
      <c r="M730" s="65">
        <v>0.17</v>
      </c>
      <c r="N730" s="62"/>
      <c r="O730" s="63" t="s">
        <v>84</v>
      </c>
      <c r="P730" s="60">
        <f t="shared" si="263"/>
        <v>280</v>
      </c>
      <c r="Q730" s="63" t="s">
        <v>84</v>
      </c>
      <c r="R730" s="64">
        <f t="shared" si="264"/>
        <v>24541440</v>
      </c>
      <c r="S730" s="8">
        <f t="shared" si="257"/>
        <v>22109405.405405402</v>
      </c>
    </row>
    <row r="731" spans="1:19" s="17" customFormat="1">
      <c r="A731" s="49" t="s">
        <v>430</v>
      </c>
      <c r="B731" s="17" t="s">
        <v>25</v>
      </c>
      <c r="C731" s="60"/>
      <c r="D731" s="61" t="s">
        <v>84</v>
      </c>
      <c r="E731" s="41">
        <v>2</v>
      </c>
      <c r="F731" s="62">
        <v>1</v>
      </c>
      <c r="G731" s="63" t="s">
        <v>20</v>
      </c>
      <c r="H731" s="62">
        <v>20</v>
      </c>
      <c r="I731" s="63" t="s">
        <v>84</v>
      </c>
      <c r="J731" s="64">
        <f>2448000/20</f>
        <v>122400</v>
      </c>
      <c r="K731" s="61" t="s">
        <v>84</v>
      </c>
      <c r="L731" s="65"/>
      <c r="M731" s="65">
        <v>0.17</v>
      </c>
      <c r="N731" s="62"/>
      <c r="O731" s="63" t="s">
        <v>84</v>
      </c>
      <c r="P731" s="60">
        <f t="shared" si="263"/>
        <v>40</v>
      </c>
      <c r="Q731" s="63" t="s">
        <v>84</v>
      </c>
      <c r="R731" s="64">
        <f t="shared" si="264"/>
        <v>4063680</v>
      </c>
      <c r="S731" s="8">
        <f t="shared" si="257"/>
        <v>3660972.9729729728</v>
      </c>
    </row>
    <row r="732" spans="1:19" s="17" customFormat="1">
      <c r="A732" s="49" t="s">
        <v>431</v>
      </c>
      <c r="B732" s="17" t="s">
        <v>25</v>
      </c>
      <c r="C732" s="60">
        <v>20</v>
      </c>
      <c r="D732" s="61" t="s">
        <v>84</v>
      </c>
      <c r="E732" s="41"/>
      <c r="F732" s="62">
        <v>1</v>
      </c>
      <c r="G732" s="63" t="s">
        <v>20</v>
      </c>
      <c r="H732" s="62">
        <v>20</v>
      </c>
      <c r="I732" s="63" t="s">
        <v>84</v>
      </c>
      <c r="J732" s="64">
        <f>2256000/20</f>
        <v>112800</v>
      </c>
      <c r="K732" s="61" t="s">
        <v>84</v>
      </c>
      <c r="L732" s="65"/>
      <c r="M732" s="65">
        <v>0.17</v>
      </c>
      <c r="N732" s="62"/>
      <c r="O732" s="63" t="s">
        <v>84</v>
      </c>
      <c r="P732" s="60">
        <f t="shared" si="263"/>
        <v>20</v>
      </c>
      <c r="Q732" s="63" t="s">
        <v>84</v>
      </c>
      <c r="R732" s="64">
        <f t="shared" si="264"/>
        <v>1872480</v>
      </c>
      <c r="S732" s="8">
        <f t="shared" si="257"/>
        <v>1686918.9189189188</v>
      </c>
    </row>
    <row r="733" spans="1:19" s="17" customFormat="1">
      <c r="A733" s="49" t="s">
        <v>432</v>
      </c>
      <c r="B733" s="17" t="s">
        <v>25</v>
      </c>
      <c r="C733" s="50"/>
      <c r="D733" s="61" t="s">
        <v>84</v>
      </c>
      <c r="E733" s="41">
        <v>1</v>
      </c>
      <c r="F733" s="62">
        <v>1</v>
      </c>
      <c r="G733" s="63" t="s">
        <v>20</v>
      </c>
      <c r="H733" s="62">
        <v>20</v>
      </c>
      <c r="I733" s="63" t="s">
        <v>84</v>
      </c>
      <c r="J733" s="64">
        <f>8500*12</f>
        <v>102000</v>
      </c>
      <c r="K733" s="61" t="s">
        <v>84</v>
      </c>
      <c r="L733" s="65"/>
      <c r="M733" s="65">
        <v>0.17</v>
      </c>
      <c r="N733" s="66"/>
      <c r="O733" s="63" t="s">
        <v>84</v>
      </c>
      <c r="P733" s="60">
        <f t="shared" si="263"/>
        <v>20</v>
      </c>
      <c r="Q733" s="63" t="s">
        <v>84</v>
      </c>
      <c r="R733" s="64">
        <f t="shared" si="264"/>
        <v>1693200</v>
      </c>
      <c r="S733" s="8">
        <f t="shared" si="257"/>
        <v>1525405.4054054052</v>
      </c>
    </row>
    <row r="734" spans="1:19" s="79" customFormat="1">
      <c r="A734" s="145" t="s">
        <v>433</v>
      </c>
      <c r="B734" s="79" t="s">
        <v>25</v>
      </c>
      <c r="C734" s="161"/>
      <c r="D734" s="155" t="s">
        <v>84</v>
      </c>
      <c r="E734" s="156"/>
      <c r="F734" s="157">
        <v>1</v>
      </c>
      <c r="G734" s="158" t="s">
        <v>20</v>
      </c>
      <c r="H734" s="157">
        <v>20</v>
      </c>
      <c r="I734" s="158" t="s">
        <v>84</v>
      </c>
      <c r="J734" s="159">
        <v>103200</v>
      </c>
      <c r="K734" s="155" t="s">
        <v>84</v>
      </c>
      <c r="L734" s="160"/>
      <c r="M734" s="160">
        <v>0.17</v>
      </c>
      <c r="N734" s="157"/>
      <c r="O734" s="158" t="s">
        <v>84</v>
      </c>
      <c r="P734" s="154">
        <f t="shared" si="263"/>
        <v>0</v>
      </c>
      <c r="Q734" s="158" t="s">
        <v>84</v>
      </c>
      <c r="R734" s="159">
        <f t="shared" si="264"/>
        <v>0</v>
      </c>
      <c r="S734" s="16">
        <f t="shared" si="257"/>
        <v>0</v>
      </c>
    </row>
    <row r="735" spans="1:19" s="80" customFormat="1">
      <c r="A735" s="79" t="s">
        <v>434</v>
      </c>
      <c r="B735" s="80" t="s">
        <v>25</v>
      </c>
      <c r="C735" s="87"/>
      <c r="D735" s="82" t="s">
        <v>84</v>
      </c>
      <c r="E735" s="83"/>
      <c r="F735" s="84">
        <v>1</v>
      </c>
      <c r="G735" s="85" t="s">
        <v>20</v>
      </c>
      <c r="H735" s="84">
        <v>20</v>
      </c>
      <c r="I735" s="85" t="s">
        <v>84</v>
      </c>
      <c r="J735" s="16">
        <f>1980000/20</f>
        <v>99000</v>
      </c>
      <c r="K735" s="82" t="s">
        <v>84</v>
      </c>
      <c r="L735" s="86"/>
      <c r="M735" s="86">
        <v>0.17</v>
      </c>
      <c r="N735" s="84"/>
      <c r="O735" s="85" t="s">
        <v>84</v>
      </c>
      <c r="P735" s="81">
        <f t="shared" si="263"/>
        <v>0</v>
      </c>
      <c r="Q735" s="85" t="s">
        <v>84</v>
      </c>
      <c r="R735" s="16">
        <f t="shared" si="264"/>
        <v>0</v>
      </c>
      <c r="S735" s="16">
        <f t="shared" si="257"/>
        <v>0</v>
      </c>
    </row>
    <row r="736" spans="1:19" s="18" customFormat="1">
      <c r="A736" s="49" t="s">
        <v>435</v>
      </c>
      <c r="B736" s="18" t="s">
        <v>25</v>
      </c>
      <c r="C736" s="50">
        <v>115</v>
      </c>
      <c r="D736" s="51" t="s">
        <v>84</v>
      </c>
      <c r="E736" s="52">
        <v>5</v>
      </c>
      <c r="F736" s="53">
        <v>1</v>
      </c>
      <c r="G736" s="48" t="s">
        <v>20</v>
      </c>
      <c r="H736" s="53">
        <v>20</v>
      </c>
      <c r="I736" s="48" t="s">
        <v>84</v>
      </c>
      <c r="J736" s="29">
        <f>2208000/20</f>
        <v>110400</v>
      </c>
      <c r="K736" s="51" t="s">
        <v>84</v>
      </c>
      <c r="L736" s="54"/>
      <c r="M736" s="54">
        <v>0.17</v>
      </c>
      <c r="N736" s="53"/>
      <c r="O736" s="48" t="s">
        <v>84</v>
      </c>
      <c r="P736" s="50">
        <f t="shared" si="263"/>
        <v>215</v>
      </c>
      <c r="Q736" s="48" t="s">
        <v>84</v>
      </c>
      <c r="R736" s="29">
        <f t="shared" si="264"/>
        <v>19700880</v>
      </c>
      <c r="S736" s="24">
        <f t="shared" si="257"/>
        <v>17748540.540540539</v>
      </c>
    </row>
    <row r="737" spans="1:19" s="18" customFormat="1">
      <c r="A737" s="49" t="s">
        <v>436</v>
      </c>
      <c r="B737" s="18" t="s">
        <v>25</v>
      </c>
      <c r="C737" s="50">
        <v>96</v>
      </c>
      <c r="D737" s="51" t="s">
        <v>84</v>
      </c>
      <c r="E737" s="52">
        <v>5</v>
      </c>
      <c r="F737" s="53">
        <v>1</v>
      </c>
      <c r="G737" s="48" t="s">
        <v>20</v>
      </c>
      <c r="H737" s="53">
        <v>20</v>
      </c>
      <c r="I737" s="48" t="s">
        <v>84</v>
      </c>
      <c r="J737" s="29">
        <f>2208000/20</f>
        <v>110400</v>
      </c>
      <c r="K737" s="51" t="s">
        <v>84</v>
      </c>
      <c r="L737" s="54"/>
      <c r="M737" s="54">
        <v>0.17</v>
      </c>
      <c r="N737" s="53"/>
      <c r="O737" s="48" t="s">
        <v>84</v>
      </c>
      <c r="P737" s="50">
        <f t="shared" si="263"/>
        <v>196</v>
      </c>
      <c r="Q737" s="48" t="s">
        <v>84</v>
      </c>
      <c r="R737" s="29">
        <f t="shared" si="264"/>
        <v>17959872</v>
      </c>
      <c r="S737" s="24">
        <f t="shared" si="257"/>
        <v>16180064.864864863</v>
      </c>
    </row>
    <row r="738" spans="1:19" s="17" customFormat="1">
      <c r="A738" s="49" t="s">
        <v>437</v>
      </c>
      <c r="B738" s="17" t="s">
        <v>25</v>
      </c>
      <c r="C738" s="60">
        <v>19</v>
      </c>
      <c r="D738" s="61" t="s">
        <v>84</v>
      </c>
      <c r="E738" s="41"/>
      <c r="F738" s="62">
        <v>1</v>
      </c>
      <c r="G738" s="63" t="s">
        <v>20</v>
      </c>
      <c r="H738" s="62">
        <v>20</v>
      </c>
      <c r="I738" s="63" t="s">
        <v>84</v>
      </c>
      <c r="J738" s="64">
        <f>2112000/20</f>
        <v>105600</v>
      </c>
      <c r="K738" s="61" t="s">
        <v>84</v>
      </c>
      <c r="L738" s="65"/>
      <c r="M738" s="65">
        <v>0.17</v>
      </c>
      <c r="N738" s="62"/>
      <c r="O738" s="63" t="s">
        <v>84</v>
      </c>
      <c r="P738" s="60">
        <f t="shared" si="263"/>
        <v>19</v>
      </c>
      <c r="Q738" s="63" t="s">
        <v>84</v>
      </c>
      <c r="R738" s="64">
        <f t="shared" si="264"/>
        <v>1665312</v>
      </c>
      <c r="S738" s="8">
        <f t="shared" si="257"/>
        <v>1500281.0810810809</v>
      </c>
    </row>
    <row r="739" spans="1:19" s="79" customFormat="1">
      <c r="A739" s="145" t="s">
        <v>438</v>
      </c>
      <c r="B739" s="79" t="s">
        <v>25</v>
      </c>
      <c r="C739" s="154"/>
      <c r="D739" s="155" t="s">
        <v>84</v>
      </c>
      <c r="E739" s="156"/>
      <c r="F739" s="157">
        <v>1</v>
      </c>
      <c r="G739" s="158" t="s">
        <v>20</v>
      </c>
      <c r="H739" s="157">
        <v>20</v>
      </c>
      <c r="I739" s="158" t="s">
        <v>84</v>
      </c>
      <c r="J739" s="159">
        <f>2160000/20</f>
        <v>108000</v>
      </c>
      <c r="K739" s="155" t="s">
        <v>84</v>
      </c>
      <c r="L739" s="160"/>
      <c r="M739" s="160">
        <v>0.17</v>
      </c>
      <c r="N739" s="157"/>
      <c r="O739" s="158" t="s">
        <v>84</v>
      </c>
      <c r="P739" s="154">
        <f t="shared" si="263"/>
        <v>0</v>
      </c>
      <c r="Q739" s="158" t="s">
        <v>84</v>
      </c>
      <c r="R739" s="159">
        <f t="shared" si="264"/>
        <v>0</v>
      </c>
      <c r="S739" s="16">
        <f t="shared" si="257"/>
        <v>0</v>
      </c>
    </row>
    <row r="740" spans="1:19" s="17" customFormat="1">
      <c r="A740" s="49" t="s">
        <v>439</v>
      </c>
      <c r="B740" s="17" t="s">
        <v>25</v>
      </c>
      <c r="C740" s="60"/>
      <c r="D740" s="61" t="s">
        <v>84</v>
      </c>
      <c r="E740" s="41">
        <v>12</v>
      </c>
      <c r="F740" s="62">
        <v>1</v>
      </c>
      <c r="G740" s="63" t="s">
        <v>20</v>
      </c>
      <c r="H740" s="62">
        <v>20</v>
      </c>
      <c r="I740" s="63" t="s">
        <v>84</v>
      </c>
      <c r="J740" s="64">
        <f>2160000/20</f>
        <v>108000</v>
      </c>
      <c r="K740" s="61" t="s">
        <v>84</v>
      </c>
      <c r="L740" s="65"/>
      <c r="M740" s="65">
        <v>0.17</v>
      </c>
      <c r="N740" s="62"/>
      <c r="O740" s="63" t="s">
        <v>84</v>
      </c>
      <c r="P740" s="60">
        <f t="shared" si="263"/>
        <v>240</v>
      </c>
      <c r="Q740" s="63" t="s">
        <v>84</v>
      </c>
      <c r="R740" s="64">
        <f t="shared" si="264"/>
        <v>21513600</v>
      </c>
      <c r="S740" s="8">
        <f t="shared" si="257"/>
        <v>19381621.62162162</v>
      </c>
    </row>
    <row r="741" spans="1:19" s="79" customFormat="1">
      <c r="A741" s="145" t="s">
        <v>711</v>
      </c>
      <c r="B741" s="79" t="s">
        <v>25</v>
      </c>
      <c r="C741" s="154"/>
      <c r="D741" s="155" t="s">
        <v>84</v>
      </c>
      <c r="E741" s="156">
        <v>5</v>
      </c>
      <c r="F741" s="157">
        <v>1</v>
      </c>
      <c r="G741" s="158" t="s">
        <v>20</v>
      </c>
      <c r="H741" s="157">
        <v>20</v>
      </c>
      <c r="I741" s="158" t="s">
        <v>84</v>
      </c>
      <c r="J741" s="159">
        <f>2256000/20</f>
        <v>112800</v>
      </c>
      <c r="K741" s="155" t="s">
        <v>84</v>
      </c>
      <c r="L741" s="160"/>
      <c r="M741" s="160">
        <v>0.17</v>
      </c>
      <c r="N741" s="157"/>
      <c r="O741" s="158" t="s">
        <v>84</v>
      </c>
      <c r="P741" s="154">
        <f t="shared" si="263"/>
        <v>100</v>
      </c>
      <c r="Q741" s="158" t="s">
        <v>84</v>
      </c>
      <c r="R741" s="159">
        <f t="shared" si="264"/>
        <v>9362400</v>
      </c>
      <c r="S741" s="16">
        <f t="shared" si="257"/>
        <v>8434594.5945945941</v>
      </c>
    </row>
    <row r="742" spans="1:19" s="17" customFormat="1">
      <c r="A742" s="49" t="s">
        <v>440</v>
      </c>
      <c r="B742" s="17" t="s">
        <v>25</v>
      </c>
      <c r="C742" s="60"/>
      <c r="D742" s="61" t="s">
        <v>84</v>
      </c>
      <c r="E742" s="41">
        <v>1</v>
      </c>
      <c r="F742" s="62">
        <v>1</v>
      </c>
      <c r="G742" s="63" t="s">
        <v>20</v>
      </c>
      <c r="H742" s="62">
        <v>20</v>
      </c>
      <c r="I742" s="63" t="s">
        <v>84</v>
      </c>
      <c r="J742" s="64">
        <f>2112000/20</f>
        <v>105600</v>
      </c>
      <c r="K742" s="61" t="s">
        <v>84</v>
      </c>
      <c r="L742" s="65"/>
      <c r="M742" s="65">
        <v>0.17</v>
      </c>
      <c r="N742" s="62"/>
      <c r="O742" s="63" t="s">
        <v>84</v>
      </c>
      <c r="P742" s="60">
        <f t="shared" si="263"/>
        <v>20</v>
      </c>
      <c r="Q742" s="63" t="s">
        <v>84</v>
      </c>
      <c r="R742" s="64">
        <f t="shared" si="264"/>
        <v>1752960</v>
      </c>
      <c r="S742" s="8">
        <f t="shared" si="257"/>
        <v>1579243.2432432431</v>
      </c>
    </row>
    <row r="743" spans="1:19" s="79" customFormat="1">
      <c r="A743" s="145" t="s">
        <v>441</v>
      </c>
      <c r="B743" s="79" t="s">
        <v>25</v>
      </c>
      <c r="C743" s="154"/>
      <c r="D743" s="155" t="s">
        <v>84</v>
      </c>
      <c r="E743" s="156"/>
      <c r="F743" s="157">
        <v>1</v>
      </c>
      <c r="G743" s="158" t="s">
        <v>20</v>
      </c>
      <c r="H743" s="157">
        <v>20</v>
      </c>
      <c r="I743" s="158" t="s">
        <v>84</v>
      </c>
      <c r="J743" s="159">
        <f>2352000/20</f>
        <v>117600</v>
      </c>
      <c r="K743" s="155" t="s">
        <v>84</v>
      </c>
      <c r="L743" s="160"/>
      <c r="M743" s="160">
        <v>0.17</v>
      </c>
      <c r="N743" s="157"/>
      <c r="O743" s="158" t="s">
        <v>84</v>
      </c>
      <c r="P743" s="154">
        <f t="shared" si="263"/>
        <v>0</v>
      </c>
      <c r="Q743" s="158" t="s">
        <v>84</v>
      </c>
      <c r="R743" s="159">
        <f t="shared" si="264"/>
        <v>0</v>
      </c>
      <c r="S743" s="16">
        <f t="shared" si="257"/>
        <v>0</v>
      </c>
    </row>
    <row r="744" spans="1:19" s="17" customFormat="1">
      <c r="A744" s="49" t="s">
        <v>746</v>
      </c>
      <c r="B744" s="17" t="s">
        <v>25</v>
      </c>
      <c r="C744" s="60"/>
      <c r="D744" s="61" t="s">
        <v>84</v>
      </c>
      <c r="E744" s="41">
        <v>1</v>
      </c>
      <c r="F744" s="62">
        <v>1</v>
      </c>
      <c r="G744" s="63" t="s">
        <v>20</v>
      </c>
      <c r="H744" s="62">
        <v>20</v>
      </c>
      <c r="I744" s="63" t="s">
        <v>84</v>
      </c>
      <c r="J744" s="64">
        <f>2256000/20</f>
        <v>112800</v>
      </c>
      <c r="K744" s="61" t="s">
        <v>84</v>
      </c>
      <c r="L744" s="65"/>
      <c r="M744" s="65">
        <v>0.17</v>
      </c>
      <c r="N744" s="62"/>
      <c r="O744" s="63" t="s">
        <v>84</v>
      </c>
      <c r="P744" s="60">
        <f t="shared" si="263"/>
        <v>20</v>
      </c>
      <c r="Q744" s="63" t="s">
        <v>84</v>
      </c>
      <c r="R744" s="64">
        <f t="shared" si="264"/>
        <v>1872480</v>
      </c>
      <c r="S744" s="8">
        <f t="shared" si="257"/>
        <v>1686918.9189189188</v>
      </c>
    </row>
    <row r="745" spans="1:19" s="17" customFormat="1">
      <c r="A745" s="49"/>
      <c r="C745" s="60"/>
      <c r="D745" s="61"/>
      <c r="E745" s="41"/>
      <c r="F745" s="62"/>
      <c r="G745" s="63"/>
      <c r="H745" s="62"/>
      <c r="I745" s="63"/>
      <c r="J745" s="64"/>
      <c r="K745" s="61"/>
      <c r="L745" s="65"/>
      <c r="M745" s="65"/>
      <c r="N745" s="62"/>
      <c r="O745" s="63"/>
      <c r="P745" s="60"/>
      <c r="Q745" s="63"/>
      <c r="R745" s="64"/>
      <c r="S745" s="8"/>
    </row>
    <row r="746" spans="1:19" s="17" customFormat="1">
      <c r="A746" s="49" t="s">
        <v>442</v>
      </c>
      <c r="B746" s="17" t="s">
        <v>182</v>
      </c>
      <c r="C746" s="60">
        <v>181</v>
      </c>
      <c r="D746" s="61" t="s">
        <v>84</v>
      </c>
      <c r="E746" s="41"/>
      <c r="F746" s="62">
        <v>1</v>
      </c>
      <c r="G746" s="63" t="s">
        <v>20</v>
      </c>
      <c r="H746" s="62">
        <v>30</v>
      </c>
      <c r="I746" s="63" t="s">
        <v>84</v>
      </c>
      <c r="J746" s="64">
        <v>155000</v>
      </c>
      <c r="K746" s="61" t="s">
        <v>84</v>
      </c>
      <c r="L746" s="65"/>
      <c r="M746" s="65"/>
      <c r="N746" s="62"/>
      <c r="O746" s="63" t="s">
        <v>84</v>
      </c>
      <c r="P746" s="60">
        <f>(C746+(E746*F746*H746))-N746</f>
        <v>181</v>
      </c>
      <c r="Q746" s="63" t="s">
        <v>84</v>
      </c>
      <c r="R746" s="64">
        <f>P746*(J746-(J746*L746)-((J746-(J746*L746))*M746))</f>
        <v>28055000</v>
      </c>
      <c r="S746" s="8">
        <f t="shared" si="257"/>
        <v>25274774.774774771</v>
      </c>
    </row>
    <row r="747" spans="1:19" s="17" customFormat="1">
      <c r="A747" s="49"/>
      <c r="C747" s="60"/>
      <c r="D747" s="61"/>
      <c r="E747" s="41"/>
      <c r="F747" s="62"/>
      <c r="G747" s="63"/>
      <c r="H747" s="62"/>
      <c r="I747" s="63"/>
      <c r="J747" s="64"/>
      <c r="K747" s="61"/>
      <c r="L747" s="65"/>
      <c r="M747" s="65"/>
      <c r="N747" s="62"/>
      <c r="O747" s="63"/>
      <c r="P747" s="60"/>
      <c r="Q747" s="63"/>
      <c r="R747" s="64"/>
      <c r="S747" s="8"/>
    </row>
    <row r="748" spans="1:19">
      <c r="A748" s="15" t="s">
        <v>443</v>
      </c>
    </row>
    <row r="749" spans="1:19">
      <c r="A749" s="17" t="s">
        <v>444</v>
      </c>
      <c r="B749" s="2" t="s">
        <v>182</v>
      </c>
      <c r="C749" s="3">
        <v>103</v>
      </c>
      <c r="D749" s="4" t="s">
        <v>33</v>
      </c>
      <c r="F749" s="6">
        <v>1</v>
      </c>
      <c r="G749" s="7" t="s">
        <v>20</v>
      </c>
      <c r="H749" s="6">
        <v>40</v>
      </c>
      <c r="I749" s="7" t="s">
        <v>33</v>
      </c>
      <c r="J749" s="8">
        <v>33600</v>
      </c>
      <c r="K749" s="4" t="s">
        <v>33</v>
      </c>
      <c r="O749" s="7" t="s">
        <v>33</v>
      </c>
      <c r="P749" s="3">
        <f>(C749+(E749*F749*H749))-N749</f>
        <v>103</v>
      </c>
      <c r="Q749" s="7" t="s">
        <v>33</v>
      </c>
      <c r="R749" s="8">
        <f>P749*(J749-(J749*L749)-((J749-(J749*L749))*M749))</f>
        <v>3460800</v>
      </c>
      <c r="S749" s="8">
        <f t="shared" si="257"/>
        <v>3117837.8378378376</v>
      </c>
    </row>
    <row r="750" spans="1:19">
      <c r="A750" s="17" t="s">
        <v>445</v>
      </c>
      <c r="B750" s="2" t="s">
        <v>182</v>
      </c>
      <c r="C750" s="3">
        <v>118</v>
      </c>
      <c r="D750" s="4" t="s">
        <v>33</v>
      </c>
      <c r="F750" s="6">
        <v>1</v>
      </c>
      <c r="G750" s="7" t="s">
        <v>20</v>
      </c>
      <c r="H750" s="6">
        <v>40</v>
      </c>
      <c r="I750" s="7" t="s">
        <v>33</v>
      </c>
      <c r="J750" s="8">
        <v>33600</v>
      </c>
      <c r="K750" s="4" t="s">
        <v>33</v>
      </c>
      <c r="O750" s="7" t="s">
        <v>33</v>
      </c>
      <c r="P750" s="3">
        <f>(C750+(E750*F750*H750))-N750</f>
        <v>118</v>
      </c>
      <c r="Q750" s="7" t="s">
        <v>33</v>
      </c>
      <c r="R750" s="8">
        <f>P750*(J750-(J750*L750)-((J750-(J750*L750))*M750))</f>
        <v>3964800</v>
      </c>
      <c r="S750" s="8">
        <f t="shared" si="257"/>
        <v>3571891.8918918916</v>
      </c>
    </row>
    <row r="751" spans="1:19">
      <c r="A751" s="17" t="s">
        <v>446</v>
      </c>
      <c r="B751" s="2" t="s">
        <v>182</v>
      </c>
      <c r="C751" s="3">
        <v>318</v>
      </c>
      <c r="D751" s="4" t="s">
        <v>33</v>
      </c>
      <c r="F751" s="6">
        <v>1</v>
      </c>
      <c r="G751" s="7" t="s">
        <v>20</v>
      </c>
      <c r="H751" s="6">
        <v>40</v>
      </c>
      <c r="I751" s="7" t="s">
        <v>33</v>
      </c>
      <c r="J751" s="8">
        <v>33600</v>
      </c>
      <c r="K751" s="4" t="s">
        <v>33</v>
      </c>
      <c r="O751" s="7" t="s">
        <v>33</v>
      </c>
      <c r="P751" s="3">
        <f>(C751+(E751*F751*H751))-N751</f>
        <v>318</v>
      </c>
      <c r="Q751" s="7" t="s">
        <v>33</v>
      </c>
      <c r="R751" s="8">
        <f>P751*(J751-(J751*L751)-((J751-(J751*L751))*M751))</f>
        <v>10684800</v>
      </c>
      <c r="S751" s="8">
        <f t="shared" si="257"/>
        <v>9625945.9459459446</v>
      </c>
    </row>
    <row r="752" spans="1:19" s="80" customFormat="1">
      <c r="A752" s="79" t="s">
        <v>447</v>
      </c>
      <c r="B752" s="80" t="s">
        <v>182</v>
      </c>
      <c r="C752" s="87"/>
      <c r="D752" s="82" t="s">
        <v>33</v>
      </c>
      <c r="E752" s="83"/>
      <c r="F752" s="84">
        <v>1</v>
      </c>
      <c r="G752" s="85" t="s">
        <v>20</v>
      </c>
      <c r="H752" s="84">
        <v>40</v>
      </c>
      <c r="I752" s="85" t="s">
        <v>33</v>
      </c>
      <c r="J752" s="16">
        <v>33600</v>
      </c>
      <c r="K752" s="82" t="s">
        <v>33</v>
      </c>
      <c r="L752" s="86"/>
      <c r="M752" s="86"/>
      <c r="N752" s="84"/>
      <c r="O752" s="85" t="s">
        <v>33</v>
      </c>
      <c r="P752" s="81">
        <f>(C752+(E752*F752*H752))-N752</f>
        <v>0</v>
      </c>
      <c r="Q752" s="85" t="s">
        <v>33</v>
      </c>
      <c r="R752" s="16">
        <f>P752*(J752-(J752*L752)-((J752-(J752*L752))*M752))</f>
        <v>0</v>
      </c>
      <c r="S752" s="16">
        <f t="shared" si="257"/>
        <v>0</v>
      </c>
    </row>
    <row r="753" spans="1:19" s="80" customFormat="1">
      <c r="A753" s="79" t="s">
        <v>448</v>
      </c>
      <c r="B753" s="80" t="s">
        <v>182</v>
      </c>
      <c r="C753" s="87"/>
      <c r="D753" s="82" t="s">
        <v>33</v>
      </c>
      <c r="E753" s="83"/>
      <c r="F753" s="84">
        <v>1</v>
      </c>
      <c r="G753" s="85" t="s">
        <v>20</v>
      </c>
      <c r="H753" s="84">
        <v>24</v>
      </c>
      <c r="I753" s="85" t="s">
        <v>33</v>
      </c>
      <c r="J753" s="16">
        <v>38400</v>
      </c>
      <c r="K753" s="82" t="s">
        <v>33</v>
      </c>
      <c r="L753" s="86"/>
      <c r="M753" s="86"/>
      <c r="N753" s="84"/>
      <c r="O753" s="85" t="s">
        <v>33</v>
      </c>
      <c r="P753" s="81">
        <f>(C753+(E753*F753*H753))-N753</f>
        <v>0</v>
      </c>
      <c r="Q753" s="85" t="s">
        <v>33</v>
      </c>
      <c r="R753" s="16">
        <f>P753*(J753-(J753*L753)-((J753-(J753*L753))*M753))</f>
        <v>0</v>
      </c>
      <c r="S753" s="16">
        <f t="shared" si="257"/>
        <v>0</v>
      </c>
    </row>
    <row r="754" spans="1:19">
      <c r="C754" s="20"/>
    </row>
    <row r="755" spans="1:19">
      <c r="A755" s="15" t="s">
        <v>449</v>
      </c>
      <c r="C755" s="20"/>
    </row>
    <row r="756" spans="1:19">
      <c r="A756" s="59" t="s">
        <v>450</v>
      </c>
      <c r="B756" s="2" t="s">
        <v>18</v>
      </c>
      <c r="C756" s="20">
        <v>698</v>
      </c>
      <c r="D756" s="4" t="s">
        <v>84</v>
      </c>
      <c r="F756" s="6">
        <v>1</v>
      </c>
      <c r="G756" s="7" t="s">
        <v>20</v>
      </c>
      <c r="H756" s="6">
        <v>12</v>
      </c>
      <c r="I756" s="7" t="s">
        <v>84</v>
      </c>
      <c r="J756" s="8">
        <v>255600</v>
      </c>
      <c r="K756" s="4" t="s">
        <v>84</v>
      </c>
      <c r="L756" s="9">
        <v>0.125</v>
      </c>
      <c r="M756" s="9">
        <v>0.05</v>
      </c>
      <c r="O756" s="7" t="s">
        <v>84</v>
      </c>
      <c r="P756" s="3">
        <f>(C756+(E756*F756*H756))-N756</f>
        <v>698</v>
      </c>
      <c r="Q756" s="7" t="s">
        <v>84</v>
      </c>
      <c r="R756" s="8">
        <f>P756*(J756-(J756*L756)-((J756-(J756*L756))*M756))</f>
        <v>148302315</v>
      </c>
      <c r="S756" s="8">
        <f t="shared" ref="S756:S757" si="268">R756/1.11</f>
        <v>133605689.18918918</v>
      </c>
    </row>
    <row r="757" spans="1:19" s="80" customFormat="1">
      <c r="A757" s="153" t="s">
        <v>451</v>
      </c>
      <c r="B757" s="80" t="s">
        <v>25</v>
      </c>
      <c r="C757" s="87"/>
      <c r="D757" s="82" t="s">
        <v>40</v>
      </c>
      <c r="E757" s="83"/>
      <c r="F757" s="84">
        <v>12</v>
      </c>
      <c r="G757" s="85" t="s">
        <v>33</v>
      </c>
      <c r="H757" s="84">
        <v>6</v>
      </c>
      <c r="I757" s="85" t="s">
        <v>40</v>
      </c>
      <c r="J757" s="16">
        <v>21000</v>
      </c>
      <c r="K757" s="82" t="s">
        <v>40</v>
      </c>
      <c r="L757" s="86"/>
      <c r="M757" s="86">
        <v>0.17</v>
      </c>
      <c r="N757" s="84"/>
      <c r="O757" s="85" t="s">
        <v>40</v>
      </c>
      <c r="P757" s="81">
        <f>(C757+(E757*F757*H757))-N757</f>
        <v>0</v>
      </c>
      <c r="Q757" s="85" t="s">
        <v>40</v>
      </c>
      <c r="R757" s="16">
        <f>P757*(J757-(J757*L757)-((J757-(J757*L757))*M757))</f>
        <v>0</v>
      </c>
      <c r="S757" s="16">
        <f t="shared" si="268"/>
        <v>0</v>
      </c>
    </row>
    <row r="758" spans="1:19">
      <c r="A758" s="59"/>
      <c r="C758" s="20"/>
    </row>
    <row r="759" spans="1:19">
      <c r="A759" s="15" t="s">
        <v>452</v>
      </c>
      <c r="C759" s="20"/>
    </row>
    <row r="760" spans="1:19" s="80" customFormat="1">
      <c r="A760" s="153" t="s">
        <v>453</v>
      </c>
      <c r="B760" s="80" t="s">
        <v>18</v>
      </c>
      <c r="C760" s="87"/>
      <c r="D760" s="82" t="s">
        <v>40</v>
      </c>
      <c r="E760" s="83"/>
      <c r="F760" s="84">
        <v>1</v>
      </c>
      <c r="G760" s="85" t="s">
        <v>20</v>
      </c>
      <c r="H760" s="84">
        <v>144</v>
      </c>
      <c r="I760" s="85" t="s">
        <v>40</v>
      </c>
      <c r="J760" s="16">
        <v>49200</v>
      </c>
      <c r="K760" s="82" t="s">
        <v>40</v>
      </c>
      <c r="L760" s="86">
        <v>0.125</v>
      </c>
      <c r="M760" s="86">
        <v>0.05</v>
      </c>
      <c r="N760" s="84"/>
      <c r="O760" s="85" t="s">
        <v>40</v>
      </c>
      <c r="P760" s="81">
        <f t="shared" ref="P760:P766" si="269">(C760+(E760*F760*H760))-N760</f>
        <v>0</v>
      </c>
      <c r="Q760" s="85" t="s">
        <v>40</v>
      </c>
      <c r="R760" s="16">
        <f t="shared" ref="R760:R766" si="270">P760*(J760-(J760*L760)-((J760-(J760*L760))*M760))</f>
        <v>0</v>
      </c>
      <c r="S760" s="16">
        <f t="shared" si="257"/>
        <v>0</v>
      </c>
    </row>
    <row r="761" spans="1:19" s="89" customFormat="1">
      <c r="A761" s="153" t="s">
        <v>454</v>
      </c>
      <c r="B761" s="89" t="s">
        <v>18</v>
      </c>
      <c r="C761" s="87"/>
      <c r="D761" s="90" t="s">
        <v>40</v>
      </c>
      <c r="E761" s="91"/>
      <c r="F761" s="92">
        <v>1</v>
      </c>
      <c r="G761" s="93" t="s">
        <v>20</v>
      </c>
      <c r="H761" s="92">
        <v>120</v>
      </c>
      <c r="I761" s="93" t="s">
        <v>40</v>
      </c>
      <c r="J761" s="94">
        <v>30600</v>
      </c>
      <c r="K761" s="90" t="s">
        <v>40</v>
      </c>
      <c r="L761" s="95">
        <v>0.125</v>
      </c>
      <c r="M761" s="95">
        <v>0.05</v>
      </c>
      <c r="N761" s="92"/>
      <c r="O761" s="93" t="s">
        <v>40</v>
      </c>
      <c r="P761" s="87">
        <f t="shared" si="269"/>
        <v>0</v>
      </c>
      <c r="Q761" s="93" t="s">
        <v>40</v>
      </c>
      <c r="R761" s="94">
        <f t="shared" si="270"/>
        <v>0</v>
      </c>
      <c r="S761" s="94">
        <f t="shared" si="257"/>
        <v>0</v>
      </c>
    </row>
    <row r="762" spans="1:19">
      <c r="A762" s="59" t="s">
        <v>455</v>
      </c>
      <c r="B762" s="2" t="s">
        <v>18</v>
      </c>
      <c r="C762" s="3">
        <v>108</v>
      </c>
      <c r="D762" s="4" t="s">
        <v>40</v>
      </c>
      <c r="F762" s="6">
        <v>1</v>
      </c>
      <c r="G762" s="7" t="s">
        <v>20</v>
      </c>
      <c r="H762" s="6">
        <v>144</v>
      </c>
      <c r="I762" s="7" t="s">
        <v>40</v>
      </c>
      <c r="J762" s="8">
        <v>23400</v>
      </c>
      <c r="K762" s="4" t="s">
        <v>40</v>
      </c>
      <c r="L762" s="9">
        <v>0.125</v>
      </c>
      <c r="M762" s="9">
        <v>0.05</v>
      </c>
      <c r="O762" s="7" t="s">
        <v>40</v>
      </c>
      <c r="P762" s="3">
        <f t="shared" si="269"/>
        <v>108</v>
      </c>
      <c r="Q762" s="7" t="s">
        <v>40</v>
      </c>
      <c r="R762" s="8">
        <f t="shared" si="270"/>
        <v>2100735</v>
      </c>
      <c r="S762" s="8">
        <f t="shared" si="257"/>
        <v>1892554.054054054</v>
      </c>
    </row>
    <row r="763" spans="1:19" s="80" customFormat="1">
      <c r="A763" s="153" t="s">
        <v>456</v>
      </c>
      <c r="B763" s="80" t="s">
        <v>18</v>
      </c>
      <c r="C763" s="81"/>
      <c r="D763" s="82" t="s">
        <v>40</v>
      </c>
      <c r="E763" s="83"/>
      <c r="F763" s="84">
        <v>1</v>
      </c>
      <c r="G763" s="85" t="s">
        <v>20</v>
      </c>
      <c r="H763" s="84">
        <v>144</v>
      </c>
      <c r="I763" s="85" t="s">
        <v>40</v>
      </c>
      <c r="J763" s="16">
        <v>40800</v>
      </c>
      <c r="K763" s="82" t="s">
        <v>40</v>
      </c>
      <c r="L763" s="86">
        <v>0.125</v>
      </c>
      <c r="M763" s="86">
        <v>0.05</v>
      </c>
      <c r="N763" s="84"/>
      <c r="O763" s="85" t="s">
        <v>40</v>
      </c>
      <c r="P763" s="81">
        <f t="shared" si="269"/>
        <v>0</v>
      </c>
      <c r="Q763" s="85" t="s">
        <v>40</v>
      </c>
      <c r="R763" s="16">
        <f t="shared" si="270"/>
        <v>0</v>
      </c>
      <c r="S763" s="16">
        <f t="shared" si="257"/>
        <v>0</v>
      </c>
    </row>
    <row r="764" spans="1:19">
      <c r="A764" s="59" t="s">
        <v>735</v>
      </c>
      <c r="B764" s="2" t="s">
        <v>18</v>
      </c>
      <c r="C764" s="3">
        <v>144</v>
      </c>
      <c r="D764" s="4" t="s">
        <v>40</v>
      </c>
      <c r="F764" s="6">
        <v>1</v>
      </c>
      <c r="G764" s="7" t="s">
        <v>20</v>
      </c>
      <c r="H764" s="6">
        <v>144</v>
      </c>
      <c r="I764" s="7" t="s">
        <v>40</v>
      </c>
      <c r="J764" s="8">
        <v>40800</v>
      </c>
      <c r="K764" s="4" t="s">
        <v>40</v>
      </c>
      <c r="L764" s="9">
        <v>0.125</v>
      </c>
      <c r="M764" s="9">
        <v>0.05</v>
      </c>
      <c r="O764" s="7" t="s">
        <v>40</v>
      </c>
      <c r="P764" s="3">
        <f t="shared" si="269"/>
        <v>144</v>
      </c>
      <c r="Q764" s="7" t="s">
        <v>40</v>
      </c>
      <c r="R764" s="8">
        <f t="shared" si="270"/>
        <v>4883760</v>
      </c>
      <c r="S764" s="8">
        <f t="shared" si="257"/>
        <v>4399783.7837837832</v>
      </c>
    </row>
    <row r="765" spans="1:19" s="19" customFormat="1">
      <c r="A765" s="59" t="s">
        <v>457</v>
      </c>
      <c r="B765" s="19" t="s">
        <v>18</v>
      </c>
      <c r="C765" s="20"/>
      <c r="D765" s="21" t="s">
        <v>40</v>
      </c>
      <c r="E765" s="26">
        <v>3</v>
      </c>
      <c r="F765" s="22">
        <v>1</v>
      </c>
      <c r="G765" s="23" t="s">
        <v>20</v>
      </c>
      <c r="H765" s="22">
        <v>144</v>
      </c>
      <c r="I765" s="23" t="s">
        <v>40</v>
      </c>
      <c r="J765" s="24">
        <v>40800</v>
      </c>
      <c r="K765" s="21" t="s">
        <v>40</v>
      </c>
      <c r="L765" s="25">
        <v>0.125</v>
      </c>
      <c r="M765" s="25">
        <v>0.05</v>
      </c>
      <c r="N765" s="22"/>
      <c r="O765" s="23" t="s">
        <v>40</v>
      </c>
      <c r="P765" s="20">
        <f t="shared" ref="P765" si="271">(C765+(E765*F765*H765))-N765</f>
        <v>432</v>
      </c>
      <c r="Q765" s="23" t="s">
        <v>40</v>
      </c>
      <c r="R765" s="24">
        <f t="shared" ref="R765" si="272">P765*(J765-(J765*L765)-((J765-(J765*L765))*M765))</f>
        <v>14651280</v>
      </c>
      <c r="S765" s="24">
        <f t="shared" ref="S765" si="273">R765/1.11</f>
        <v>13199351.351351351</v>
      </c>
    </row>
    <row r="766" spans="1:19" s="80" customFormat="1">
      <c r="A766" s="153" t="s">
        <v>795</v>
      </c>
      <c r="B766" s="80" t="s">
        <v>18</v>
      </c>
      <c r="C766" s="81"/>
      <c r="D766" s="82" t="s">
        <v>40</v>
      </c>
      <c r="E766" s="83"/>
      <c r="F766" s="84">
        <v>1</v>
      </c>
      <c r="G766" s="85" t="s">
        <v>20</v>
      </c>
      <c r="H766" s="84">
        <v>144</v>
      </c>
      <c r="I766" s="85" t="s">
        <v>40</v>
      </c>
      <c r="J766" s="16">
        <v>25200</v>
      </c>
      <c r="K766" s="82" t="s">
        <v>40</v>
      </c>
      <c r="L766" s="86">
        <v>0.125</v>
      </c>
      <c r="M766" s="86">
        <v>0.05</v>
      </c>
      <c r="N766" s="84"/>
      <c r="O766" s="85" t="s">
        <v>40</v>
      </c>
      <c r="P766" s="81">
        <f t="shared" si="269"/>
        <v>0</v>
      </c>
      <c r="Q766" s="85" t="s">
        <v>40</v>
      </c>
      <c r="R766" s="16">
        <f t="shared" si="270"/>
        <v>0</v>
      </c>
      <c r="S766" s="16">
        <f t="shared" si="257"/>
        <v>0</v>
      </c>
    </row>
    <row r="767" spans="1:19">
      <c r="A767" s="59"/>
    </row>
    <row r="768" spans="1:19">
      <c r="A768" s="17" t="s">
        <v>458</v>
      </c>
      <c r="B768" s="2" t="s">
        <v>25</v>
      </c>
      <c r="C768" s="3">
        <v>142</v>
      </c>
      <c r="D768" s="4" t="s">
        <v>40</v>
      </c>
      <c r="F768" s="6">
        <v>1</v>
      </c>
      <c r="G768" s="7" t="s">
        <v>20</v>
      </c>
      <c r="H768" s="6">
        <v>144</v>
      </c>
      <c r="I768" s="7" t="s">
        <v>40</v>
      </c>
      <c r="J768" s="8">
        <f>6739200/144</f>
        <v>46800</v>
      </c>
      <c r="K768" s="4" t="s">
        <v>40</v>
      </c>
      <c r="M768" s="9">
        <v>0.17</v>
      </c>
      <c r="O768" s="7" t="s">
        <v>40</v>
      </c>
      <c r="P768" s="3">
        <f>(C768+(E768*F768*H768))-N768</f>
        <v>142</v>
      </c>
      <c r="Q768" s="7" t="s">
        <v>40</v>
      </c>
      <c r="R768" s="8">
        <f>P768*(J768-(J768*L768)-((J768-(J768*L768))*M768))</f>
        <v>5515848</v>
      </c>
      <c r="S768" s="8">
        <f t="shared" si="257"/>
        <v>4969232.4324324317</v>
      </c>
    </row>
    <row r="769" spans="1:19" s="80" customFormat="1">
      <c r="A769" s="79" t="s">
        <v>459</v>
      </c>
      <c r="B769" s="80" t="s">
        <v>25</v>
      </c>
      <c r="C769" s="87"/>
      <c r="D769" s="82" t="s">
        <v>40</v>
      </c>
      <c r="E769" s="83"/>
      <c r="F769" s="84">
        <v>1</v>
      </c>
      <c r="G769" s="85" t="s">
        <v>20</v>
      </c>
      <c r="H769" s="84">
        <v>144</v>
      </c>
      <c r="I769" s="85" t="s">
        <v>40</v>
      </c>
      <c r="J769" s="16">
        <f>4492800/144</f>
        <v>31200</v>
      </c>
      <c r="K769" s="82" t="s">
        <v>40</v>
      </c>
      <c r="L769" s="86"/>
      <c r="M769" s="86">
        <v>0.17</v>
      </c>
      <c r="N769" s="84"/>
      <c r="O769" s="85" t="s">
        <v>40</v>
      </c>
      <c r="P769" s="81">
        <f>(C769+(E769*F769*H769))-N769</f>
        <v>0</v>
      </c>
      <c r="Q769" s="85" t="s">
        <v>40</v>
      </c>
      <c r="R769" s="16">
        <f>P769*(J769-(J769*L769)-((J769-(J769*L769))*M769))</f>
        <v>0</v>
      </c>
      <c r="S769" s="16">
        <f t="shared" si="257"/>
        <v>0</v>
      </c>
    </row>
    <row r="770" spans="1:19" s="80" customFormat="1">
      <c r="A770" s="79" t="s">
        <v>460</v>
      </c>
      <c r="B770" s="80" t="s">
        <v>25</v>
      </c>
      <c r="C770" s="87"/>
      <c r="D770" s="82" t="s">
        <v>40</v>
      </c>
      <c r="E770" s="83"/>
      <c r="F770" s="84">
        <v>1</v>
      </c>
      <c r="G770" s="85" t="s">
        <v>20</v>
      </c>
      <c r="H770" s="84">
        <v>144</v>
      </c>
      <c r="I770" s="85" t="s">
        <v>40</v>
      </c>
      <c r="J770" s="16">
        <v>29400</v>
      </c>
      <c r="K770" s="82" t="s">
        <v>40</v>
      </c>
      <c r="L770" s="86"/>
      <c r="M770" s="86">
        <v>0.17</v>
      </c>
      <c r="N770" s="84"/>
      <c r="O770" s="85" t="s">
        <v>40</v>
      </c>
      <c r="P770" s="81">
        <f>(C770+(E770*F770*H770))-N770</f>
        <v>0</v>
      </c>
      <c r="Q770" s="85" t="s">
        <v>40</v>
      </c>
      <c r="R770" s="16">
        <f>P770*(J770-(J770*L770)-((J770-(J770*L770))*M770))</f>
        <v>0</v>
      </c>
      <c r="S770" s="16">
        <f t="shared" si="257"/>
        <v>0</v>
      </c>
    </row>
    <row r="771" spans="1:19" s="80" customFormat="1">
      <c r="A771" s="79" t="s">
        <v>461</v>
      </c>
      <c r="B771" s="80" t="s">
        <v>25</v>
      </c>
      <c r="C771" s="87"/>
      <c r="D771" s="82" t="s">
        <v>40</v>
      </c>
      <c r="E771" s="83"/>
      <c r="F771" s="84">
        <v>1</v>
      </c>
      <c r="G771" s="85" t="s">
        <v>20</v>
      </c>
      <c r="H771" s="84">
        <v>144</v>
      </c>
      <c r="I771" s="85" t="s">
        <v>40</v>
      </c>
      <c r="J771" s="16">
        <f>2764800/144</f>
        <v>19200</v>
      </c>
      <c r="K771" s="82" t="s">
        <v>40</v>
      </c>
      <c r="L771" s="86"/>
      <c r="M771" s="86">
        <v>0.17</v>
      </c>
      <c r="N771" s="84"/>
      <c r="O771" s="85" t="s">
        <v>40</v>
      </c>
      <c r="P771" s="81">
        <f>(C771+(E771*F771*H771))-N771</f>
        <v>0</v>
      </c>
      <c r="Q771" s="85" t="s">
        <v>40</v>
      </c>
      <c r="R771" s="16">
        <f>P771*(J771-(J771*L771)-((J771-(J771*L771))*M771))</f>
        <v>0</v>
      </c>
      <c r="S771" s="16">
        <f t="shared" ref="S771:S875" si="274">R771/1.11</f>
        <v>0</v>
      </c>
    </row>
    <row r="772" spans="1:19" s="80" customFormat="1">
      <c r="A772" s="79" t="s">
        <v>462</v>
      </c>
      <c r="B772" s="80" t="s">
        <v>25</v>
      </c>
      <c r="C772" s="87"/>
      <c r="D772" s="82" t="s">
        <v>40</v>
      </c>
      <c r="E772" s="83"/>
      <c r="F772" s="84">
        <v>1</v>
      </c>
      <c r="G772" s="85" t="s">
        <v>20</v>
      </c>
      <c r="H772" s="84">
        <v>144</v>
      </c>
      <c r="I772" s="85" t="s">
        <v>40</v>
      </c>
      <c r="J772" s="16">
        <f>3369600/144</f>
        <v>23400</v>
      </c>
      <c r="K772" s="82" t="s">
        <v>40</v>
      </c>
      <c r="L772" s="86"/>
      <c r="M772" s="86">
        <v>0.17</v>
      </c>
      <c r="N772" s="84"/>
      <c r="O772" s="85" t="s">
        <v>40</v>
      </c>
      <c r="P772" s="81">
        <f>(C772+(E772*F772*H772))-N772</f>
        <v>0</v>
      </c>
      <c r="Q772" s="85" t="s">
        <v>40</v>
      </c>
      <c r="R772" s="16">
        <f>P772*(J772-(J772*L772)-((J772-(J772*L772))*M772))</f>
        <v>0</v>
      </c>
      <c r="S772" s="16">
        <f t="shared" si="274"/>
        <v>0</v>
      </c>
    </row>
    <row r="773" spans="1:19" s="80" customFormat="1">
      <c r="A773" s="79"/>
      <c r="C773" s="87"/>
      <c r="D773" s="82"/>
      <c r="E773" s="83"/>
      <c r="F773" s="84"/>
      <c r="G773" s="85"/>
      <c r="H773" s="84"/>
      <c r="I773" s="85"/>
      <c r="J773" s="16"/>
      <c r="K773" s="82"/>
      <c r="L773" s="86"/>
      <c r="M773" s="86"/>
      <c r="N773" s="84"/>
      <c r="O773" s="85"/>
      <c r="P773" s="81"/>
      <c r="Q773" s="85"/>
      <c r="R773" s="16"/>
      <c r="S773" s="16"/>
    </row>
    <row r="774" spans="1:19" s="80" customFormat="1">
      <c r="A774" s="79" t="s">
        <v>463</v>
      </c>
      <c r="B774" s="80" t="s">
        <v>261</v>
      </c>
      <c r="C774" s="87"/>
      <c r="D774" s="82" t="s">
        <v>40</v>
      </c>
      <c r="E774" s="83"/>
      <c r="F774" s="84">
        <v>1</v>
      </c>
      <c r="G774" s="85" t="s">
        <v>20</v>
      </c>
      <c r="H774" s="84">
        <v>144</v>
      </c>
      <c r="I774" s="85" t="s">
        <v>40</v>
      </c>
      <c r="J774" s="16">
        <v>12500</v>
      </c>
      <c r="K774" s="82" t="s">
        <v>40</v>
      </c>
      <c r="L774" s="86"/>
      <c r="M774" s="86"/>
      <c r="N774" s="84"/>
      <c r="O774" s="85" t="s">
        <v>40</v>
      </c>
      <c r="P774" s="81">
        <f>(C774+(E774*F774*H774))-N774</f>
        <v>0</v>
      </c>
      <c r="Q774" s="85" t="s">
        <v>40</v>
      </c>
      <c r="R774" s="16">
        <f>P774*(J774-(J774*L774)-((J774-(J774*L774))*M774))</f>
        <v>0</v>
      </c>
      <c r="S774" s="16">
        <f>R774/1.11</f>
        <v>0</v>
      </c>
    </row>
    <row r="775" spans="1:19" s="80" customFormat="1">
      <c r="A775" s="79" t="s">
        <v>464</v>
      </c>
      <c r="B775" s="80" t="s">
        <v>261</v>
      </c>
      <c r="C775" s="87"/>
      <c r="D775" s="82" t="s">
        <v>40</v>
      </c>
      <c r="E775" s="83"/>
      <c r="F775" s="84">
        <v>1</v>
      </c>
      <c r="G775" s="85" t="s">
        <v>20</v>
      </c>
      <c r="H775" s="84">
        <v>144</v>
      </c>
      <c r="I775" s="85" t="s">
        <v>40</v>
      </c>
      <c r="J775" s="16">
        <v>12500</v>
      </c>
      <c r="K775" s="82" t="s">
        <v>40</v>
      </c>
      <c r="L775" s="86"/>
      <c r="M775" s="86"/>
      <c r="N775" s="84"/>
      <c r="O775" s="85" t="s">
        <v>40</v>
      </c>
      <c r="P775" s="81">
        <f>(C775+(E775*F775*H775))-N775</f>
        <v>0</v>
      </c>
      <c r="Q775" s="85" t="s">
        <v>40</v>
      </c>
      <c r="R775" s="16">
        <f>P775*(J775-(J775*L775)-((J775-(J775*L775))*M775))</f>
        <v>0</v>
      </c>
      <c r="S775" s="16">
        <f>R775/1.11</f>
        <v>0</v>
      </c>
    </row>
    <row r="776" spans="1:19">
      <c r="A776" s="17" t="s">
        <v>465</v>
      </c>
      <c r="B776" s="2" t="s">
        <v>261</v>
      </c>
      <c r="C776" s="3">
        <v>96</v>
      </c>
      <c r="D776" s="4" t="s">
        <v>40</v>
      </c>
      <c r="F776" s="6">
        <v>1</v>
      </c>
      <c r="G776" s="7" t="s">
        <v>20</v>
      </c>
      <c r="H776" s="6">
        <v>96</v>
      </c>
      <c r="I776" s="7" t="s">
        <v>40</v>
      </c>
      <c r="J776" s="8">
        <v>27500</v>
      </c>
      <c r="K776" s="4" t="s">
        <v>40</v>
      </c>
      <c r="O776" s="7" t="s">
        <v>40</v>
      </c>
      <c r="P776" s="3">
        <f>(C776+(E776*F776*H776))-N776</f>
        <v>96</v>
      </c>
      <c r="Q776" s="7" t="s">
        <v>40</v>
      </c>
      <c r="R776" s="8">
        <f>P776*(J776-(J776*L776)-((J776-(J776*L776))*M776))</f>
        <v>2640000</v>
      </c>
      <c r="S776" s="8">
        <f>R776/1.11</f>
        <v>2378378.3783783782</v>
      </c>
    </row>
    <row r="778" spans="1:19">
      <c r="A778" s="15" t="s">
        <v>666</v>
      </c>
    </row>
    <row r="779" spans="1:19">
      <c r="A779" s="59" t="s">
        <v>667</v>
      </c>
      <c r="B779" s="2" t="s">
        <v>18</v>
      </c>
      <c r="D779" s="4" t="s">
        <v>84</v>
      </c>
      <c r="E779" s="5">
        <v>8</v>
      </c>
      <c r="F779" s="6">
        <v>1</v>
      </c>
      <c r="G779" s="7" t="s">
        <v>20</v>
      </c>
      <c r="H779" s="6">
        <v>12</v>
      </c>
      <c r="I779" s="7" t="s">
        <v>84</v>
      </c>
      <c r="J779" s="8">
        <v>176400</v>
      </c>
      <c r="K779" s="4" t="s">
        <v>84</v>
      </c>
      <c r="L779" s="9">
        <v>0.125</v>
      </c>
      <c r="M779" s="9">
        <v>0.05</v>
      </c>
      <c r="O779" s="7" t="s">
        <v>84</v>
      </c>
      <c r="P779" s="3">
        <f t="shared" ref="P779:P784" si="275">(C779+(E779*F779*H779))-N779</f>
        <v>96</v>
      </c>
      <c r="Q779" s="7" t="s">
        <v>84</v>
      </c>
      <c r="R779" s="8">
        <f t="shared" ref="R779:R784" si="276">P779*(J779-(J779*L779)-((J779-(J779*L779))*M779))</f>
        <v>14076720</v>
      </c>
      <c r="S779" s="8">
        <f t="shared" si="274"/>
        <v>12681729.729729729</v>
      </c>
    </row>
    <row r="780" spans="1:19" s="80" customFormat="1">
      <c r="A780" s="153" t="s">
        <v>668</v>
      </c>
      <c r="B780" s="80" t="s">
        <v>18</v>
      </c>
      <c r="C780" s="81"/>
      <c r="D780" s="82" t="s">
        <v>84</v>
      </c>
      <c r="E780" s="83"/>
      <c r="F780" s="84">
        <v>12</v>
      </c>
      <c r="G780" s="85" t="s">
        <v>33</v>
      </c>
      <c r="H780" s="84">
        <v>1</v>
      </c>
      <c r="I780" s="85" t="s">
        <v>84</v>
      </c>
      <c r="J780" s="16">
        <v>183600</v>
      </c>
      <c r="K780" s="82" t="s">
        <v>84</v>
      </c>
      <c r="L780" s="86">
        <v>0.125</v>
      </c>
      <c r="M780" s="86">
        <v>0.05</v>
      </c>
      <c r="N780" s="84"/>
      <c r="O780" s="85" t="s">
        <v>84</v>
      </c>
      <c r="P780" s="81">
        <f t="shared" si="275"/>
        <v>0</v>
      </c>
      <c r="Q780" s="85" t="s">
        <v>84</v>
      </c>
      <c r="R780" s="16">
        <f t="shared" si="276"/>
        <v>0</v>
      </c>
      <c r="S780" s="16">
        <f t="shared" si="274"/>
        <v>0</v>
      </c>
    </row>
    <row r="781" spans="1:19" s="19" customFormat="1">
      <c r="A781" s="59" t="s">
        <v>669</v>
      </c>
      <c r="B781" s="19" t="s">
        <v>18</v>
      </c>
      <c r="C781" s="20"/>
      <c r="D781" s="21" t="s">
        <v>40</v>
      </c>
      <c r="E781" s="26">
        <v>6</v>
      </c>
      <c r="F781" s="22">
        <v>12</v>
      </c>
      <c r="G781" s="23" t="s">
        <v>84</v>
      </c>
      <c r="H781" s="22">
        <v>12</v>
      </c>
      <c r="I781" s="23" t="s">
        <v>40</v>
      </c>
      <c r="J781" s="24">
        <v>19800</v>
      </c>
      <c r="K781" s="21" t="s">
        <v>40</v>
      </c>
      <c r="L781" s="25">
        <v>0.125</v>
      </c>
      <c r="M781" s="25">
        <v>0.05</v>
      </c>
      <c r="N781" s="22"/>
      <c r="O781" s="23" t="s">
        <v>40</v>
      </c>
      <c r="P781" s="20">
        <f t="shared" ref="P781" si="277">(C781+(E781*F781*H781))-N781</f>
        <v>864</v>
      </c>
      <c r="Q781" s="23" t="s">
        <v>40</v>
      </c>
      <c r="R781" s="24">
        <f t="shared" ref="R781" si="278">P781*(J781-(J781*L781)-((J781-(J781*L781))*M781))</f>
        <v>14220360</v>
      </c>
      <c r="S781" s="24">
        <f t="shared" ref="S781" si="279">R781/1.11</f>
        <v>12811135.135135135</v>
      </c>
    </row>
    <row r="782" spans="1:19" s="19" customFormat="1">
      <c r="A782" s="59" t="s">
        <v>670</v>
      </c>
      <c r="B782" s="19" t="s">
        <v>18</v>
      </c>
      <c r="C782" s="20">
        <v>144</v>
      </c>
      <c r="D782" s="21" t="s">
        <v>40</v>
      </c>
      <c r="E782" s="26">
        <v>13</v>
      </c>
      <c r="F782" s="22">
        <v>12</v>
      </c>
      <c r="G782" s="23" t="s">
        <v>84</v>
      </c>
      <c r="H782" s="22">
        <v>6</v>
      </c>
      <c r="I782" s="23" t="s">
        <v>40</v>
      </c>
      <c r="J782" s="24">
        <f>3100*12</f>
        <v>37200</v>
      </c>
      <c r="K782" s="21" t="s">
        <v>40</v>
      </c>
      <c r="L782" s="25">
        <v>0.125</v>
      </c>
      <c r="M782" s="25">
        <v>0.05</v>
      </c>
      <c r="N782" s="22"/>
      <c r="O782" s="23" t="s">
        <v>40</v>
      </c>
      <c r="P782" s="20">
        <f t="shared" ref="P782" si="280">(C782+(E782*F782*H782))-N782</f>
        <v>1080</v>
      </c>
      <c r="Q782" s="23" t="s">
        <v>40</v>
      </c>
      <c r="R782" s="24">
        <f t="shared" ref="R782" si="281">P782*(J782-(J782*L782)-((J782-(J782*L782))*M782))</f>
        <v>33396300</v>
      </c>
      <c r="S782" s="24">
        <f t="shared" ref="S782" si="282">R782/1.11</f>
        <v>30086756.756756753</v>
      </c>
    </row>
    <row r="783" spans="1:19" s="19" customFormat="1">
      <c r="A783" s="59" t="s">
        <v>671</v>
      </c>
      <c r="B783" s="19" t="s">
        <v>18</v>
      </c>
      <c r="C783" s="20">
        <v>12</v>
      </c>
      <c r="D783" s="21" t="s">
        <v>84</v>
      </c>
      <c r="E783" s="26">
        <v>1</v>
      </c>
      <c r="F783" s="22">
        <v>1</v>
      </c>
      <c r="G783" s="23" t="s">
        <v>20</v>
      </c>
      <c r="H783" s="22">
        <v>12</v>
      </c>
      <c r="I783" s="23" t="s">
        <v>84</v>
      </c>
      <c r="J783" s="24">
        <v>198000</v>
      </c>
      <c r="K783" s="21" t="s">
        <v>84</v>
      </c>
      <c r="L783" s="25">
        <v>0.125</v>
      </c>
      <c r="M783" s="25">
        <v>0.05</v>
      </c>
      <c r="N783" s="22"/>
      <c r="O783" s="23" t="s">
        <v>84</v>
      </c>
      <c r="P783" s="20">
        <f t="shared" ref="P783" si="283">(C783+(E783*F783*H783))-N783</f>
        <v>24</v>
      </c>
      <c r="Q783" s="23" t="s">
        <v>84</v>
      </c>
      <c r="R783" s="24">
        <f t="shared" ref="R783" si="284">P783*(J783-(J783*L783)-((J783-(J783*L783))*M783))</f>
        <v>3950100</v>
      </c>
      <c r="S783" s="24">
        <f t="shared" ref="S783" si="285">R783/1.11</f>
        <v>3558648.6486486485</v>
      </c>
    </row>
    <row r="784" spans="1:19">
      <c r="A784" s="59" t="s">
        <v>736</v>
      </c>
      <c r="B784" s="2" t="s">
        <v>18</v>
      </c>
      <c r="C784" s="3">
        <v>10</v>
      </c>
      <c r="D784" s="4" t="s">
        <v>40</v>
      </c>
      <c r="E784" s="5">
        <v>1</v>
      </c>
      <c r="F784" s="6">
        <v>1</v>
      </c>
      <c r="G784" s="7" t="s">
        <v>20</v>
      </c>
      <c r="H784" s="6">
        <v>72</v>
      </c>
      <c r="I784" s="7" t="s">
        <v>40</v>
      </c>
      <c r="J784" s="8">
        <v>39600</v>
      </c>
      <c r="K784" s="4" t="s">
        <v>40</v>
      </c>
      <c r="L784" s="9">
        <v>0.125</v>
      </c>
      <c r="M784" s="9">
        <v>0.05</v>
      </c>
      <c r="O784" s="7" t="s">
        <v>84</v>
      </c>
      <c r="P784" s="3">
        <f t="shared" si="275"/>
        <v>82</v>
      </c>
      <c r="Q784" s="7" t="s">
        <v>84</v>
      </c>
      <c r="R784" s="8">
        <f t="shared" si="276"/>
        <v>2699235</v>
      </c>
      <c r="S784" s="8">
        <f t="shared" si="274"/>
        <v>2431743.2432432431</v>
      </c>
    </row>
    <row r="785" spans="1:19">
      <c r="A785" s="59"/>
    </row>
    <row r="786" spans="1:19">
      <c r="A786" s="59" t="s">
        <v>672</v>
      </c>
      <c r="B786" s="2" t="s">
        <v>25</v>
      </c>
      <c r="C786" s="3">
        <v>11</v>
      </c>
      <c r="D786" s="4" t="s">
        <v>84</v>
      </c>
      <c r="E786" s="5">
        <v>2</v>
      </c>
      <c r="F786" s="6">
        <v>1</v>
      </c>
      <c r="G786" s="7" t="s">
        <v>20</v>
      </c>
      <c r="H786" s="6">
        <v>18</v>
      </c>
      <c r="I786" s="7" t="s">
        <v>84</v>
      </c>
      <c r="J786" s="8">
        <f>3240000/18</f>
        <v>180000</v>
      </c>
      <c r="K786" s="4" t="s">
        <v>84</v>
      </c>
      <c r="M786" s="9">
        <v>0.17</v>
      </c>
      <c r="O786" s="7" t="s">
        <v>84</v>
      </c>
      <c r="P786" s="3">
        <f>(C786+(E786*F786*H786))-N786</f>
        <v>47</v>
      </c>
      <c r="Q786" s="7" t="s">
        <v>84</v>
      </c>
      <c r="R786" s="8">
        <f>P786*(J786-(J786*L786)-((J786-(J786*L786))*M786))</f>
        <v>7021800</v>
      </c>
      <c r="S786" s="8">
        <f t="shared" si="274"/>
        <v>6325945.9459459456</v>
      </c>
    </row>
    <row r="787" spans="1:19" s="80" customFormat="1">
      <c r="A787" s="79" t="s">
        <v>673</v>
      </c>
      <c r="B787" s="80" t="s">
        <v>25</v>
      </c>
      <c r="C787" s="81"/>
      <c r="D787" s="82" t="s">
        <v>40</v>
      </c>
      <c r="E787" s="83"/>
      <c r="F787" s="84">
        <v>12</v>
      </c>
      <c r="G787" s="85" t="s">
        <v>84</v>
      </c>
      <c r="H787" s="84">
        <v>12</v>
      </c>
      <c r="I787" s="85" t="s">
        <v>40</v>
      </c>
      <c r="J787" s="16">
        <v>14400</v>
      </c>
      <c r="K787" s="82" t="s">
        <v>40</v>
      </c>
      <c r="L787" s="86"/>
      <c r="M787" s="86">
        <v>0.17</v>
      </c>
      <c r="N787" s="84"/>
      <c r="O787" s="85" t="s">
        <v>40</v>
      </c>
      <c r="P787" s="81">
        <f>(C787+(E787*F787*H787))-N787</f>
        <v>0</v>
      </c>
      <c r="Q787" s="85" t="s">
        <v>40</v>
      </c>
      <c r="R787" s="16">
        <f>P787*(J787-(J787*L787)-((J787-(J787*L787))*M787))</f>
        <v>0</v>
      </c>
      <c r="S787" s="16">
        <f t="shared" si="274"/>
        <v>0</v>
      </c>
    </row>
    <row r="788" spans="1:19" s="96" customFormat="1">
      <c r="A788" s="178" t="s">
        <v>673</v>
      </c>
      <c r="B788" s="96" t="s">
        <v>25</v>
      </c>
      <c r="C788" s="99"/>
      <c r="D788" s="100" t="s">
        <v>40</v>
      </c>
      <c r="E788" s="101">
        <v>1</v>
      </c>
      <c r="F788" s="102">
        <v>12</v>
      </c>
      <c r="G788" s="103" t="s">
        <v>84</v>
      </c>
      <c r="H788" s="102">
        <v>12</v>
      </c>
      <c r="I788" s="103" t="s">
        <v>40</v>
      </c>
      <c r="J788" s="104">
        <v>16200</v>
      </c>
      <c r="K788" s="100" t="s">
        <v>40</v>
      </c>
      <c r="L788" s="105"/>
      <c r="M788" s="105">
        <v>0.17</v>
      </c>
      <c r="N788" s="102"/>
      <c r="O788" s="103" t="s">
        <v>40</v>
      </c>
      <c r="P788" s="99">
        <f>(C788+(E788*F788*H788))-N788</f>
        <v>144</v>
      </c>
      <c r="Q788" s="103" t="s">
        <v>40</v>
      </c>
      <c r="R788" s="104">
        <f>P788*(J788-(J788*L788)-((J788-(J788*L788))*M788))</f>
        <v>1936224</v>
      </c>
      <c r="S788" s="104">
        <f t="shared" ref="S788" si="286">R788/1.11</f>
        <v>1744345.9459459458</v>
      </c>
    </row>
    <row r="789" spans="1:19">
      <c r="A789" s="17" t="s">
        <v>674</v>
      </c>
      <c r="B789" s="2" t="s">
        <v>25</v>
      </c>
      <c r="C789" s="3">
        <v>144</v>
      </c>
      <c r="D789" s="4" t="s">
        <v>40</v>
      </c>
      <c r="E789" s="5">
        <v>1</v>
      </c>
      <c r="F789" s="6">
        <v>12</v>
      </c>
      <c r="G789" s="7" t="s">
        <v>84</v>
      </c>
      <c r="H789" s="6">
        <v>12</v>
      </c>
      <c r="I789" s="7" t="s">
        <v>40</v>
      </c>
      <c r="J789" s="8">
        <f>2937600/12/12</f>
        <v>20400</v>
      </c>
      <c r="K789" s="4" t="s">
        <v>40</v>
      </c>
      <c r="M789" s="9">
        <v>0.17</v>
      </c>
      <c r="O789" s="7" t="s">
        <v>40</v>
      </c>
      <c r="P789" s="3">
        <f>(C789+(E789*F789*H789))-N789</f>
        <v>288</v>
      </c>
      <c r="Q789" s="7" t="s">
        <v>40</v>
      </c>
      <c r="R789" s="8">
        <f>P789*(J789-(J789*L789)-((J789-(J789*L789))*M789))</f>
        <v>4876416</v>
      </c>
      <c r="S789" s="8">
        <f t="shared" si="274"/>
        <v>4393167.5675675673</v>
      </c>
    </row>
    <row r="791" spans="1:19">
      <c r="A791" s="17" t="s">
        <v>778</v>
      </c>
      <c r="B791" s="2" t="s">
        <v>182</v>
      </c>
      <c r="C791" s="20">
        <v>10520</v>
      </c>
      <c r="D791" s="4" t="s">
        <v>152</v>
      </c>
      <c r="F791" s="6">
        <v>40</v>
      </c>
      <c r="G791" s="7" t="s">
        <v>33</v>
      </c>
      <c r="H791" s="6">
        <f>1600/40</f>
        <v>40</v>
      </c>
      <c r="I791" s="7" t="s">
        <v>152</v>
      </c>
      <c r="J791" s="8">
        <v>1532</v>
      </c>
      <c r="K791" s="4" t="s">
        <v>152</v>
      </c>
      <c r="O791" s="7" t="s">
        <v>152</v>
      </c>
      <c r="P791" s="3">
        <f>(C791+(E791*F791*H791))-N791</f>
        <v>10520</v>
      </c>
      <c r="Q791" s="7" t="s">
        <v>152</v>
      </c>
      <c r="R791" s="8">
        <f>P791*(J791-(J791*L791)-((J791-(J791*L791))*M791))</f>
        <v>16116640</v>
      </c>
      <c r="S791" s="8">
        <f t="shared" si="274"/>
        <v>14519495.495495494</v>
      </c>
    </row>
    <row r="793" spans="1:19">
      <c r="A793" s="15" t="s">
        <v>466</v>
      </c>
    </row>
    <row r="794" spans="1:19" s="19" customFormat="1">
      <c r="A794" s="18" t="s">
        <v>467</v>
      </c>
      <c r="B794" s="19" t="s">
        <v>18</v>
      </c>
      <c r="C794" s="20">
        <v>1236</v>
      </c>
      <c r="D794" s="21" t="s">
        <v>152</v>
      </c>
      <c r="E794" s="26">
        <v>9</v>
      </c>
      <c r="F794" s="22">
        <v>12</v>
      </c>
      <c r="G794" s="23" t="s">
        <v>33</v>
      </c>
      <c r="H794" s="22">
        <v>24</v>
      </c>
      <c r="I794" s="23" t="s">
        <v>152</v>
      </c>
      <c r="J794" s="24">
        <v>6700</v>
      </c>
      <c r="K794" s="21" t="s">
        <v>152</v>
      </c>
      <c r="L794" s="25">
        <v>0.125</v>
      </c>
      <c r="M794" s="25">
        <v>0.05</v>
      </c>
      <c r="N794" s="22"/>
      <c r="O794" s="23" t="s">
        <v>152</v>
      </c>
      <c r="P794" s="20">
        <f t="shared" ref="P794:P807" si="287">(C794+(E794*F794*H794))-N794</f>
        <v>3828</v>
      </c>
      <c r="Q794" s="23" t="s">
        <v>152</v>
      </c>
      <c r="R794" s="24">
        <f t="shared" ref="R794:R807" si="288">P794*(J794-(J794*L794)-((J794-(J794*L794))*M794))</f>
        <v>21319567.5</v>
      </c>
      <c r="S794" s="24">
        <f t="shared" si="274"/>
        <v>19206817.567567565</v>
      </c>
    </row>
    <row r="795" spans="1:19" s="19" customFormat="1">
      <c r="A795" s="18" t="s">
        <v>468</v>
      </c>
      <c r="B795" s="19" t="s">
        <v>18</v>
      </c>
      <c r="C795" s="20">
        <v>96</v>
      </c>
      <c r="D795" s="21" t="s">
        <v>152</v>
      </c>
      <c r="E795" s="26">
        <v>2</v>
      </c>
      <c r="F795" s="22">
        <v>12</v>
      </c>
      <c r="G795" s="23" t="s">
        <v>33</v>
      </c>
      <c r="H795" s="22">
        <v>12</v>
      </c>
      <c r="I795" s="23" t="s">
        <v>152</v>
      </c>
      <c r="J795" s="24">
        <v>13800</v>
      </c>
      <c r="K795" s="21" t="s">
        <v>152</v>
      </c>
      <c r="L795" s="25">
        <v>0.125</v>
      </c>
      <c r="M795" s="25">
        <v>0.05</v>
      </c>
      <c r="N795" s="22"/>
      <c r="O795" s="23" t="s">
        <v>152</v>
      </c>
      <c r="P795" s="20">
        <f t="shared" si="287"/>
        <v>384</v>
      </c>
      <c r="Q795" s="23" t="s">
        <v>152</v>
      </c>
      <c r="R795" s="24">
        <f t="shared" si="288"/>
        <v>4404960</v>
      </c>
      <c r="S795" s="8">
        <f t="shared" si="274"/>
        <v>3968432.4324324322</v>
      </c>
    </row>
    <row r="796" spans="1:19" s="19" customFormat="1">
      <c r="A796" s="18" t="s">
        <v>469</v>
      </c>
      <c r="B796" s="19" t="s">
        <v>18</v>
      </c>
      <c r="C796" s="20">
        <v>3084</v>
      </c>
      <c r="D796" s="21" t="s">
        <v>152</v>
      </c>
      <c r="E796" s="26">
        <v>53</v>
      </c>
      <c r="F796" s="22">
        <v>12</v>
      </c>
      <c r="G796" s="23" t="s">
        <v>33</v>
      </c>
      <c r="H796" s="22">
        <v>12</v>
      </c>
      <c r="I796" s="23" t="s">
        <v>152</v>
      </c>
      <c r="J796" s="24">
        <v>10600</v>
      </c>
      <c r="K796" s="21" t="s">
        <v>152</v>
      </c>
      <c r="L796" s="25">
        <v>0.125</v>
      </c>
      <c r="M796" s="25">
        <v>0.05</v>
      </c>
      <c r="N796" s="22"/>
      <c r="O796" s="23" t="s">
        <v>152</v>
      </c>
      <c r="P796" s="20">
        <f t="shared" si="287"/>
        <v>10716</v>
      </c>
      <c r="Q796" s="23" t="s">
        <v>152</v>
      </c>
      <c r="R796" s="24">
        <f t="shared" si="288"/>
        <v>94421355</v>
      </c>
      <c r="S796" s="24">
        <f t="shared" si="274"/>
        <v>85064283.783783779</v>
      </c>
    </row>
    <row r="797" spans="1:19" s="19" customFormat="1">
      <c r="A797" s="18" t="s">
        <v>470</v>
      </c>
      <c r="B797" s="19" t="s">
        <v>18</v>
      </c>
      <c r="C797" s="20">
        <v>390</v>
      </c>
      <c r="D797" s="21" t="s">
        <v>152</v>
      </c>
      <c r="E797" s="26">
        <v>17</v>
      </c>
      <c r="F797" s="22">
        <v>12</v>
      </c>
      <c r="G797" s="23" t="s">
        <v>33</v>
      </c>
      <c r="H797" s="22">
        <v>6</v>
      </c>
      <c r="I797" s="23" t="s">
        <v>152</v>
      </c>
      <c r="J797" s="24">
        <v>21200</v>
      </c>
      <c r="K797" s="21" t="s">
        <v>152</v>
      </c>
      <c r="L797" s="25">
        <v>0.125</v>
      </c>
      <c r="M797" s="25">
        <v>0.05</v>
      </c>
      <c r="N797" s="22"/>
      <c r="O797" s="23" t="s">
        <v>152</v>
      </c>
      <c r="P797" s="20">
        <f t="shared" si="287"/>
        <v>1614</v>
      </c>
      <c r="Q797" s="23" t="s">
        <v>152</v>
      </c>
      <c r="R797" s="24">
        <f t="shared" si="288"/>
        <v>28442715</v>
      </c>
      <c r="S797" s="8">
        <f t="shared" si="274"/>
        <v>25624067.567567565</v>
      </c>
    </row>
    <row r="798" spans="1:19" s="89" customFormat="1">
      <c r="A798" s="88" t="s">
        <v>471</v>
      </c>
      <c r="B798" s="89" t="s">
        <v>18</v>
      </c>
      <c r="C798" s="87"/>
      <c r="D798" s="90" t="s">
        <v>152</v>
      </c>
      <c r="E798" s="91"/>
      <c r="F798" s="92">
        <v>8</v>
      </c>
      <c r="G798" s="93" t="s">
        <v>33</v>
      </c>
      <c r="H798" s="92">
        <v>6</v>
      </c>
      <c r="I798" s="93" t="s">
        <v>152</v>
      </c>
      <c r="J798" s="94">
        <v>35000</v>
      </c>
      <c r="K798" s="90" t="s">
        <v>152</v>
      </c>
      <c r="L798" s="95">
        <v>0.125</v>
      </c>
      <c r="M798" s="95">
        <v>0.05</v>
      </c>
      <c r="N798" s="92"/>
      <c r="O798" s="93" t="s">
        <v>152</v>
      </c>
      <c r="P798" s="87">
        <f t="shared" si="287"/>
        <v>0</v>
      </c>
      <c r="Q798" s="93" t="s">
        <v>152</v>
      </c>
      <c r="R798" s="94">
        <f t="shared" si="288"/>
        <v>0</v>
      </c>
      <c r="S798" s="16">
        <f t="shared" si="274"/>
        <v>0</v>
      </c>
    </row>
    <row r="799" spans="1:19" s="19" customFormat="1">
      <c r="A799" s="18" t="s">
        <v>472</v>
      </c>
      <c r="B799" s="19" t="s">
        <v>18</v>
      </c>
      <c r="C799" s="20">
        <v>408</v>
      </c>
      <c r="D799" s="21" t="s">
        <v>152</v>
      </c>
      <c r="E799" s="26">
        <v>5</v>
      </c>
      <c r="F799" s="22">
        <v>12</v>
      </c>
      <c r="G799" s="23" t="s">
        <v>33</v>
      </c>
      <c r="H799" s="22">
        <v>12</v>
      </c>
      <c r="I799" s="23" t="s">
        <v>152</v>
      </c>
      <c r="J799" s="24">
        <v>9600</v>
      </c>
      <c r="K799" s="21" t="s">
        <v>152</v>
      </c>
      <c r="L799" s="25">
        <v>0.125</v>
      </c>
      <c r="M799" s="25">
        <v>0.05</v>
      </c>
      <c r="N799" s="22"/>
      <c r="O799" s="23" t="s">
        <v>152</v>
      </c>
      <c r="P799" s="20">
        <f t="shared" si="287"/>
        <v>1128</v>
      </c>
      <c r="Q799" s="23" t="s">
        <v>152</v>
      </c>
      <c r="R799" s="24">
        <f t="shared" si="288"/>
        <v>9001440</v>
      </c>
      <c r="S799" s="24">
        <f t="shared" si="274"/>
        <v>8109405.405405405</v>
      </c>
    </row>
    <row r="800" spans="1:19" s="80" customFormat="1">
      <c r="A800" s="79" t="s">
        <v>473</v>
      </c>
      <c r="B800" s="80" t="s">
        <v>18</v>
      </c>
      <c r="C800" s="81"/>
      <c r="D800" s="82" t="s">
        <v>152</v>
      </c>
      <c r="E800" s="83"/>
      <c r="F800" s="84">
        <v>12</v>
      </c>
      <c r="G800" s="85" t="s">
        <v>33</v>
      </c>
      <c r="H800" s="84">
        <v>6</v>
      </c>
      <c r="I800" s="85" t="s">
        <v>152</v>
      </c>
      <c r="J800" s="16">
        <v>19200</v>
      </c>
      <c r="K800" s="82" t="s">
        <v>152</v>
      </c>
      <c r="L800" s="86">
        <v>0.125</v>
      </c>
      <c r="M800" s="86">
        <v>0.05</v>
      </c>
      <c r="N800" s="84"/>
      <c r="O800" s="85" t="s">
        <v>152</v>
      </c>
      <c r="P800" s="81">
        <f t="shared" si="287"/>
        <v>0</v>
      </c>
      <c r="Q800" s="85" t="s">
        <v>152</v>
      </c>
      <c r="R800" s="16">
        <f t="shared" si="288"/>
        <v>0</v>
      </c>
      <c r="S800" s="16">
        <f t="shared" si="274"/>
        <v>0</v>
      </c>
    </row>
    <row r="801" spans="1:19" s="80" customFormat="1">
      <c r="A801" s="79" t="s">
        <v>474</v>
      </c>
      <c r="B801" s="80" t="s">
        <v>18</v>
      </c>
      <c r="C801" s="81"/>
      <c r="D801" s="82" t="s">
        <v>152</v>
      </c>
      <c r="E801" s="83"/>
      <c r="F801" s="84">
        <v>12</v>
      </c>
      <c r="G801" s="85" t="s">
        <v>33</v>
      </c>
      <c r="H801" s="84">
        <v>24</v>
      </c>
      <c r="I801" s="85" t="s">
        <v>152</v>
      </c>
      <c r="J801" s="16">
        <v>5800</v>
      </c>
      <c r="K801" s="82" t="s">
        <v>152</v>
      </c>
      <c r="L801" s="86">
        <v>0.125</v>
      </c>
      <c r="M801" s="86">
        <v>0.05</v>
      </c>
      <c r="N801" s="84"/>
      <c r="O801" s="85" t="s">
        <v>152</v>
      </c>
      <c r="P801" s="81">
        <f t="shared" si="287"/>
        <v>0</v>
      </c>
      <c r="Q801" s="85" t="s">
        <v>152</v>
      </c>
      <c r="R801" s="16">
        <f t="shared" si="288"/>
        <v>0</v>
      </c>
      <c r="S801" s="16">
        <f t="shared" si="274"/>
        <v>0</v>
      </c>
    </row>
    <row r="802" spans="1:19" s="19" customFormat="1">
      <c r="A802" s="18" t="s">
        <v>475</v>
      </c>
      <c r="B802" s="19" t="s">
        <v>18</v>
      </c>
      <c r="C802" s="20"/>
      <c r="D802" s="21" t="s">
        <v>152</v>
      </c>
      <c r="E802" s="26">
        <v>5</v>
      </c>
      <c r="F802" s="22">
        <v>12</v>
      </c>
      <c r="G802" s="23" t="s">
        <v>33</v>
      </c>
      <c r="H802" s="22">
        <v>12</v>
      </c>
      <c r="I802" s="23" t="s">
        <v>152</v>
      </c>
      <c r="J802" s="24">
        <v>8400</v>
      </c>
      <c r="K802" s="21" t="s">
        <v>152</v>
      </c>
      <c r="L802" s="25">
        <v>0.125</v>
      </c>
      <c r="M802" s="25">
        <v>0.05</v>
      </c>
      <c r="N802" s="22"/>
      <c r="O802" s="23" t="s">
        <v>152</v>
      </c>
      <c r="P802" s="20">
        <f t="shared" ref="P802" si="289">(C802+(E802*F802*H802))-N802</f>
        <v>720</v>
      </c>
      <c r="Q802" s="23" t="s">
        <v>152</v>
      </c>
      <c r="R802" s="24">
        <f t="shared" ref="R802" si="290">P802*(J802-(J802*L802)-((J802-(J802*L802))*M802))</f>
        <v>5027400</v>
      </c>
      <c r="S802" s="24">
        <f t="shared" ref="S802" si="291">R802/1.11</f>
        <v>4529189.1891891891</v>
      </c>
    </row>
    <row r="803" spans="1:19" s="19" customFormat="1">
      <c r="A803" s="18" t="s">
        <v>805</v>
      </c>
      <c r="B803" s="19" t="s">
        <v>18</v>
      </c>
      <c r="C803" s="20">
        <v>72</v>
      </c>
      <c r="D803" s="21" t="s">
        <v>152</v>
      </c>
      <c r="E803" s="26">
        <v>1</v>
      </c>
      <c r="F803" s="22">
        <v>12</v>
      </c>
      <c r="G803" s="23" t="s">
        <v>33</v>
      </c>
      <c r="H803" s="22">
        <v>6</v>
      </c>
      <c r="I803" s="23" t="s">
        <v>152</v>
      </c>
      <c r="J803" s="24">
        <v>16800</v>
      </c>
      <c r="K803" s="21" t="s">
        <v>152</v>
      </c>
      <c r="L803" s="25">
        <v>0.125</v>
      </c>
      <c r="M803" s="25">
        <v>0.05</v>
      </c>
      <c r="N803" s="22"/>
      <c r="O803" s="23" t="s">
        <v>152</v>
      </c>
      <c r="P803" s="20">
        <f t="shared" si="287"/>
        <v>144</v>
      </c>
      <c r="Q803" s="23" t="s">
        <v>152</v>
      </c>
      <c r="R803" s="24">
        <f t="shared" si="288"/>
        <v>2010960</v>
      </c>
      <c r="S803" s="8">
        <f t="shared" si="274"/>
        <v>1811675.6756756755</v>
      </c>
    </row>
    <row r="804" spans="1:19" s="19" customFormat="1">
      <c r="A804" s="18" t="s">
        <v>476</v>
      </c>
      <c r="B804" s="19" t="s">
        <v>18</v>
      </c>
      <c r="C804" s="20">
        <v>144</v>
      </c>
      <c r="D804" s="21" t="s">
        <v>152</v>
      </c>
      <c r="E804" s="26"/>
      <c r="F804" s="22">
        <v>12</v>
      </c>
      <c r="G804" s="23" t="s">
        <v>33</v>
      </c>
      <c r="H804" s="22">
        <v>12</v>
      </c>
      <c r="I804" s="23" t="s">
        <v>152</v>
      </c>
      <c r="J804" s="24">
        <v>11000</v>
      </c>
      <c r="K804" s="21" t="s">
        <v>152</v>
      </c>
      <c r="L804" s="25">
        <v>0.125</v>
      </c>
      <c r="M804" s="25">
        <v>0.05</v>
      </c>
      <c r="N804" s="22"/>
      <c r="O804" s="23" t="s">
        <v>152</v>
      </c>
      <c r="P804" s="20">
        <f t="shared" si="287"/>
        <v>144</v>
      </c>
      <c r="Q804" s="23" t="s">
        <v>152</v>
      </c>
      <c r="R804" s="24">
        <f t="shared" si="288"/>
        <v>1316700</v>
      </c>
      <c r="S804" s="8">
        <f t="shared" si="274"/>
        <v>1186216.2162162161</v>
      </c>
    </row>
    <row r="805" spans="1:19" s="19" customFormat="1">
      <c r="A805" s="18" t="s">
        <v>477</v>
      </c>
      <c r="B805" s="19" t="s">
        <v>18</v>
      </c>
      <c r="C805" s="20">
        <v>252</v>
      </c>
      <c r="D805" s="21" t="s">
        <v>152</v>
      </c>
      <c r="E805" s="26">
        <v>3</v>
      </c>
      <c r="F805" s="22">
        <v>12</v>
      </c>
      <c r="G805" s="23" t="s">
        <v>33</v>
      </c>
      <c r="H805" s="22">
        <v>24</v>
      </c>
      <c r="I805" s="23" t="s">
        <v>152</v>
      </c>
      <c r="J805" s="24">
        <v>5400</v>
      </c>
      <c r="K805" s="21" t="s">
        <v>152</v>
      </c>
      <c r="L805" s="25">
        <v>0.125</v>
      </c>
      <c r="M805" s="25">
        <v>0.05</v>
      </c>
      <c r="N805" s="22"/>
      <c r="O805" s="23" t="s">
        <v>152</v>
      </c>
      <c r="P805" s="20">
        <f t="shared" si="287"/>
        <v>1116</v>
      </c>
      <c r="Q805" s="23" t="s">
        <v>152</v>
      </c>
      <c r="R805" s="24">
        <f t="shared" si="288"/>
        <v>5009445</v>
      </c>
      <c r="S805" s="8">
        <f t="shared" si="274"/>
        <v>4513013.5135135129</v>
      </c>
    </row>
    <row r="806" spans="1:19" s="89" customFormat="1">
      <c r="A806" s="88" t="s">
        <v>478</v>
      </c>
      <c r="B806" s="89" t="s">
        <v>18</v>
      </c>
      <c r="C806" s="87"/>
      <c r="D806" s="90" t="s">
        <v>152</v>
      </c>
      <c r="E806" s="91"/>
      <c r="F806" s="92">
        <v>12</v>
      </c>
      <c r="G806" s="93" t="s">
        <v>33</v>
      </c>
      <c r="H806" s="92">
        <v>12</v>
      </c>
      <c r="I806" s="93" t="s">
        <v>152</v>
      </c>
      <c r="J806" s="94">
        <v>16900</v>
      </c>
      <c r="K806" s="90" t="s">
        <v>152</v>
      </c>
      <c r="L806" s="95">
        <v>0.125</v>
      </c>
      <c r="M806" s="95">
        <v>0.05</v>
      </c>
      <c r="N806" s="92"/>
      <c r="O806" s="93" t="s">
        <v>152</v>
      </c>
      <c r="P806" s="87">
        <f t="shared" si="287"/>
        <v>0</v>
      </c>
      <c r="Q806" s="93" t="s">
        <v>152</v>
      </c>
      <c r="R806" s="94">
        <f t="shared" si="288"/>
        <v>0</v>
      </c>
      <c r="S806" s="16">
        <f t="shared" si="274"/>
        <v>0</v>
      </c>
    </row>
    <row r="807" spans="1:19" s="89" customFormat="1">
      <c r="A807" s="88" t="s">
        <v>479</v>
      </c>
      <c r="B807" s="89" t="s">
        <v>18</v>
      </c>
      <c r="C807" s="87"/>
      <c r="D807" s="90" t="s">
        <v>152</v>
      </c>
      <c r="E807" s="91"/>
      <c r="F807" s="92">
        <v>12</v>
      </c>
      <c r="G807" s="93" t="s">
        <v>33</v>
      </c>
      <c r="H807" s="92">
        <v>6</v>
      </c>
      <c r="I807" s="93" t="s">
        <v>152</v>
      </c>
      <c r="J807" s="94">
        <v>33800</v>
      </c>
      <c r="K807" s="90" t="s">
        <v>152</v>
      </c>
      <c r="L807" s="95">
        <v>0.125</v>
      </c>
      <c r="M807" s="95">
        <v>0.05</v>
      </c>
      <c r="N807" s="92"/>
      <c r="O807" s="93" t="s">
        <v>152</v>
      </c>
      <c r="P807" s="87">
        <f t="shared" si="287"/>
        <v>0</v>
      </c>
      <c r="Q807" s="93" t="s">
        <v>152</v>
      </c>
      <c r="R807" s="94">
        <f t="shared" si="288"/>
        <v>0</v>
      </c>
      <c r="S807" s="16">
        <f t="shared" si="274"/>
        <v>0</v>
      </c>
    </row>
    <row r="808" spans="1:19" s="19" customFormat="1">
      <c r="A808" s="18"/>
      <c r="C808" s="20"/>
      <c r="D808" s="21"/>
      <c r="E808" s="26"/>
      <c r="F808" s="22"/>
      <c r="G808" s="23"/>
      <c r="H808" s="22"/>
      <c r="I808" s="23"/>
      <c r="J808" s="24"/>
      <c r="K808" s="21"/>
      <c r="L808" s="25"/>
      <c r="M808" s="25"/>
      <c r="N808" s="22"/>
      <c r="O808" s="23"/>
      <c r="P808" s="20"/>
      <c r="Q808" s="23"/>
      <c r="R808" s="24"/>
      <c r="S808" s="8"/>
    </row>
    <row r="809" spans="1:19" s="19" customFormat="1">
      <c r="A809" s="18" t="s">
        <v>480</v>
      </c>
      <c r="B809" s="19" t="s">
        <v>25</v>
      </c>
      <c r="C809" s="20">
        <v>166</v>
      </c>
      <c r="D809" s="21" t="s">
        <v>40</v>
      </c>
      <c r="E809" s="26">
        <v>10</v>
      </c>
      <c r="F809" s="22">
        <v>24</v>
      </c>
      <c r="G809" s="23" t="s">
        <v>33</v>
      </c>
      <c r="H809" s="22">
        <v>2</v>
      </c>
      <c r="I809" s="23" t="s">
        <v>40</v>
      </c>
      <c r="J809" s="24">
        <f>3801600/24/2</f>
        <v>79200</v>
      </c>
      <c r="K809" s="21" t="s">
        <v>40</v>
      </c>
      <c r="L809" s="25"/>
      <c r="M809" s="25">
        <v>0.17</v>
      </c>
      <c r="N809" s="22"/>
      <c r="O809" s="23" t="s">
        <v>40</v>
      </c>
      <c r="P809" s="20">
        <f t="shared" ref="P809:P810" si="292">(C809+(E809*F809*H809))-N809</f>
        <v>646</v>
      </c>
      <c r="Q809" s="23" t="s">
        <v>40</v>
      </c>
      <c r="R809" s="24">
        <f t="shared" ref="R809:R810" si="293">P809*(J809-(J809*L809)-((J809-(J809*L809))*M809))</f>
        <v>42465456</v>
      </c>
      <c r="S809" s="24">
        <f t="shared" ref="S809:S810" si="294">R809/1.11</f>
        <v>38257167.567567565</v>
      </c>
    </row>
    <row r="810" spans="1:19" s="19" customFormat="1">
      <c r="A810" s="164" t="s">
        <v>481</v>
      </c>
      <c r="B810" s="19" t="s">
        <v>25</v>
      </c>
      <c r="C810" s="20"/>
      <c r="D810" s="21" t="s">
        <v>40</v>
      </c>
      <c r="E810" s="26">
        <v>100</v>
      </c>
      <c r="F810" s="22">
        <v>1</v>
      </c>
      <c r="G810" s="23" t="s">
        <v>20</v>
      </c>
      <c r="H810" s="22">
        <v>24</v>
      </c>
      <c r="I810" s="23" t="s">
        <v>40</v>
      </c>
      <c r="J810" s="24">
        <f>2980800/24</f>
        <v>124200</v>
      </c>
      <c r="K810" s="21" t="s">
        <v>40</v>
      </c>
      <c r="L810" s="25">
        <v>0.03</v>
      </c>
      <c r="M810" s="25">
        <v>0.17</v>
      </c>
      <c r="N810" s="22"/>
      <c r="O810" s="23" t="s">
        <v>40</v>
      </c>
      <c r="P810" s="20">
        <f t="shared" si="292"/>
        <v>2400</v>
      </c>
      <c r="Q810" s="23" t="s">
        <v>40</v>
      </c>
      <c r="R810" s="24">
        <f t="shared" si="293"/>
        <v>239984208</v>
      </c>
      <c r="S810" s="24">
        <f t="shared" si="294"/>
        <v>216201989.18918917</v>
      </c>
    </row>
    <row r="811" spans="1:19" s="19" customFormat="1">
      <c r="A811" s="18" t="s">
        <v>481</v>
      </c>
      <c r="B811" s="19" t="s">
        <v>25</v>
      </c>
      <c r="C811" s="20">
        <v>184</v>
      </c>
      <c r="D811" s="21" t="s">
        <v>40</v>
      </c>
      <c r="E811" s="26">
        <v>11</v>
      </c>
      <c r="F811" s="22">
        <v>1</v>
      </c>
      <c r="G811" s="23" t="s">
        <v>20</v>
      </c>
      <c r="H811" s="22">
        <v>24</v>
      </c>
      <c r="I811" s="23" t="s">
        <v>40</v>
      </c>
      <c r="J811" s="24">
        <f>2980800/24</f>
        <v>124200</v>
      </c>
      <c r="K811" s="21" t="s">
        <v>40</v>
      </c>
      <c r="L811" s="25"/>
      <c r="M811" s="25">
        <v>0.17</v>
      </c>
      <c r="N811" s="22"/>
      <c r="O811" s="23" t="s">
        <v>40</v>
      </c>
      <c r="P811" s="20">
        <f t="shared" ref="P811:P821" si="295">(C811+(E811*F811*H811))-N811</f>
        <v>448</v>
      </c>
      <c r="Q811" s="23" t="s">
        <v>40</v>
      </c>
      <c r="R811" s="24">
        <f t="shared" ref="R811:R821" si="296">P811*(J811-(J811*L811)-((J811-(J811*L811))*M811))</f>
        <v>46182528</v>
      </c>
      <c r="S811" s="24">
        <f t="shared" si="274"/>
        <v>41605881.081081077</v>
      </c>
    </row>
    <row r="812" spans="1:19">
      <c r="A812" s="17" t="s">
        <v>482</v>
      </c>
      <c r="B812" s="2" t="s">
        <v>25</v>
      </c>
      <c r="D812" s="4" t="s">
        <v>40</v>
      </c>
      <c r="E812" s="5">
        <v>2</v>
      </c>
      <c r="F812" s="6">
        <v>1</v>
      </c>
      <c r="G812" s="7" t="s">
        <v>20</v>
      </c>
      <c r="H812" s="6">
        <v>12</v>
      </c>
      <c r="I812" s="7" t="s">
        <v>40</v>
      </c>
      <c r="J812" s="8">
        <f>2980800/12</f>
        <v>248400</v>
      </c>
      <c r="K812" s="4" t="s">
        <v>40</v>
      </c>
      <c r="M812" s="9">
        <v>0.17</v>
      </c>
      <c r="O812" s="7" t="s">
        <v>40</v>
      </c>
      <c r="P812" s="3">
        <f t="shared" si="295"/>
        <v>24</v>
      </c>
      <c r="Q812" s="7" t="s">
        <v>40</v>
      </c>
      <c r="R812" s="8">
        <f t="shared" si="296"/>
        <v>4948128</v>
      </c>
      <c r="S812" s="8">
        <f t="shared" si="274"/>
        <v>4457772.9729729723</v>
      </c>
    </row>
    <row r="813" spans="1:19">
      <c r="A813" s="17" t="s">
        <v>678</v>
      </c>
      <c r="B813" s="2" t="s">
        <v>25</v>
      </c>
      <c r="C813" s="3">
        <v>106</v>
      </c>
      <c r="D813" s="4" t="s">
        <v>152</v>
      </c>
      <c r="E813" s="5">
        <v>1</v>
      </c>
      <c r="F813" s="6">
        <v>20</v>
      </c>
      <c r="G813" s="7" t="s">
        <v>33</v>
      </c>
      <c r="H813" s="6">
        <v>4</v>
      </c>
      <c r="I813" s="7" t="s">
        <v>152</v>
      </c>
      <c r="J813" s="8">
        <f>2640000/20/4</f>
        <v>33000</v>
      </c>
      <c r="K813" s="4" t="s">
        <v>152</v>
      </c>
      <c r="M813" s="9">
        <v>0.17</v>
      </c>
      <c r="O813" s="7" t="s">
        <v>152</v>
      </c>
      <c r="P813" s="3">
        <f t="shared" si="295"/>
        <v>186</v>
      </c>
      <c r="Q813" s="7" t="s">
        <v>152</v>
      </c>
      <c r="R813" s="8">
        <f t="shared" si="296"/>
        <v>5094540</v>
      </c>
      <c r="S813" s="8">
        <f>R813/1.11</f>
        <v>4589675.6756756753</v>
      </c>
    </row>
    <row r="814" spans="1:19" s="80" customFormat="1">
      <c r="A814" s="79" t="s">
        <v>483</v>
      </c>
      <c r="B814" s="80" t="s">
        <v>25</v>
      </c>
      <c r="C814" s="81"/>
      <c r="D814" s="82" t="s">
        <v>40</v>
      </c>
      <c r="E814" s="83"/>
      <c r="F814" s="84">
        <v>1</v>
      </c>
      <c r="G814" s="85" t="s">
        <v>20</v>
      </c>
      <c r="H814" s="84">
        <v>24</v>
      </c>
      <c r="I814" s="85" t="s">
        <v>40</v>
      </c>
      <c r="J814" s="16">
        <f>2448000/24</f>
        <v>102000</v>
      </c>
      <c r="K814" s="82" t="s">
        <v>40</v>
      </c>
      <c r="L814" s="86"/>
      <c r="M814" s="86">
        <v>0.17</v>
      </c>
      <c r="N814" s="84"/>
      <c r="O814" s="85" t="s">
        <v>40</v>
      </c>
      <c r="P814" s="81">
        <f t="shared" si="295"/>
        <v>0</v>
      </c>
      <c r="Q814" s="85" t="s">
        <v>40</v>
      </c>
      <c r="R814" s="16">
        <f t="shared" si="296"/>
        <v>0</v>
      </c>
      <c r="S814" s="16">
        <f t="shared" si="274"/>
        <v>0</v>
      </c>
    </row>
    <row r="815" spans="1:19">
      <c r="A815" s="17" t="s">
        <v>484</v>
      </c>
      <c r="B815" s="2" t="s">
        <v>25</v>
      </c>
      <c r="C815" s="3">
        <v>10</v>
      </c>
      <c r="D815" s="4" t="s">
        <v>40</v>
      </c>
      <c r="F815" s="6">
        <v>1</v>
      </c>
      <c r="G815" s="7" t="s">
        <v>20</v>
      </c>
      <c r="H815" s="6">
        <v>16</v>
      </c>
      <c r="I815" s="7" t="s">
        <v>40</v>
      </c>
      <c r="J815" s="8">
        <f>1824000/16</f>
        <v>114000</v>
      </c>
      <c r="K815" s="4" t="s">
        <v>40</v>
      </c>
      <c r="M815" s="9">
        <v>0.17</v>
      </c>
      <c r="O815" s="7" t="s">
        <v>40</v>
      </c>
      <c r="P815" s="3">
        <f t="shared" si="295"/>
        <v>10</v>
      </c>
      <c r="Q815" s="7" t="s">
        <v>40</v>
      </c>
      <c r="R815" s="8">
        <f t="shared" si="296"/>
        <v>946200</v>
      </c>
      <c r="S815" s="8">
        <f t="shared" si="274"/>
        <v>852432.43243243231</v>
      </c>
    </row>
    <row r="816" spans="1:19" s="80" customFormat="1">
      <c r="A816" s="79" t="s">
        <v>681</v>
      </c>
      <c r="B816" s="80" t="s">
        <v>25</v>
      </c>
      <c r="C816" s="81"/>
      <c r="D816" s="82" t="s">
        <v>152</v>
      </c>
      <c r="E816" s="83"/>
      <c r="F816" s="84">
        <v>24</v>
      </c>
      <c r="G816" s="85" t="s">
        <v>33</v>
      </c>
      <c r="H816" s="84">
        <v>6</v>
      </c>
      <c r="I816" s="85" t="s">
        <v>152</v>
      </c>
      <c r="J816" s="16">
        <f>2448000/24/6</f>
        <v>17000</v>
      </c>
      <c r="K816" s="82" t="s">
        <v>152</v>
      </c>
      <c r="L816" s="86"/>
      <c r="M816" s="86">
        <v>0.17</v>
      </c>
      <c r="N816" s="84"/>
      <c r="O816" s="85" t="s">
        <v>152</v>
      </c>
      <c r="P816" s="81">
        <f t="shared" si="295"/>
        <v>0</v>
      </c>
      <c r="Q816" s="85" t="s">
        <v>152</v>
      </c>
      <c r="R816" s="16">
        <f t="shared" si="296"/>
        <v>0</v>
      </c>
      <c r="S816" s="16">
        <f t="shared" si="274"/>
        <v>0</v>
      </c>
    </row>
    <row r="817" spans="1:19">
      <c r="A817" s="17" t="s">
        <v>485</v>
      </c>
      <c r="B817" s="2" t="s">
        <v>25</v>
      </c>
      <c r="D817" s="4" t="s">
        <v>152</v>
      </c>
      <c r="E817" s="5">
        <v>2</v>
      </c>
      <c r="F817" s="6">
        <v>10</v>
      </c>
      <c r="G817" s="7" t="s">
        <v>40</v>
      </c>
      <c r="H817" s="6">
        <v>12</v>
      </c>
      <c r="I817" s="7" t="s">
        <v>152</v>
      </c>
      <c r="J817" s="8">
        <f>2040000/10/12</f>
        <v>17000</v>
      </c>
      <c r="K817" s="4" t="s">
        <v>152</v>
      </c>
      <c r="M817" s="9">
        <v>0.17</v>
      </c>
      <c r="O817" s="7" t="s">
        <v>152</v>
      </c>
      <c r="P817" s="3">
        <f t="shared" si="295"/>
        <v>240</v>
      </c>
      <c r="Q817" s="7" t="s">
        <v>152</v>
      </c>
      <c r="R817" s="8">
        <f t="shared" si="296"/>
        <v>3386400</v>
      </c>
      <c r="S817" s="8">
        <f t="shared" si="274"/>
        <v>3050810.8108108104</v>
      </c>
    </row>
    <row r="818" spans="1:19" s="96" customFormat="1">
      <c r="A818" s="115" t="s">
        <v>486</v>
      </c>
      <c r="B818" s="96" t="s">
        <v>25</v>
      </c>
      <c r="C818" s="99"/>
      <c r="D818" s="100" t="s">
        <v>152</v>
      </c>
      <c r="E818" s="101">
        <v>1</v>
      </c>
      <c r="F818" s="102">
        <v>10</v>
      </c>
      <c r="G818" s="103" t="s">
        <v>33</v>
      </c>
      <c r="H818" s="102">
        <v>6</v>
      </c>
      <c r="I818" s="103" t="s">
        <v>152</v>
      </c>
      <c r="J818" s="104">
        <f>2040000/10/6</f>
        <v>34000</v>
      </c>
      <c r="K818" s="100" t="s">
        <v>152</v>
      </c>
      <c r="L818" s="105"/>
      <c r="M818" s="105">
        <v>0.17</v>
      </c>
      <c r="N818" s="102"/>
      <c r="O818" s="103" t="s">
        <v>152</v>
      </c>
      <c r="P818" s="99">
        <f t="shared" si="295"/>
        <v>60</v>
      </c>
      <c r="Q818" s="103" t="s">
        <v>152</v>
      </c>
      <c r="R818" s="104">
        <f t="shared" si="296"/>
        <v>1693200</v>
      </c>
      <c r="S818" s="104">
        <f t="shared" si="274"/>
        <v>1525405.4054054052</v>
      </c>
    </row>
    <row r="819" spans="1:19" s="89" customFormat="1">
      <c r="A819" s="88" t="s">
        <v>487</v>
      </c>
      <c r="B819" s="89" t="s">
        <v>25</v>
      </c>
      <c r="C819" s="87"/>
      <c r="D819" s="90" t="s">
        <v>152</v>
      </c>
      <c r="E819" s="91"/>
      <c r="F819" s="92">
        <v>24</v>
      </c>
      <c r="G819" s="93" t="s">
        <v>40</v>
      </c>
      <c r="H819" s="92">
        <v>12</v>
      </c>
      <c r="I819" s="93" t="s">
        <v>152</v>
      </c>
      <c r="J819" s="94">
        <f>3571200/24/12</f>
        <v>12400</v>
      </c>
      <c r="K819" s="90" t="s">
        <v>152</v>
      </c>
      <c r="L819" s="95"/>
      <c r="M819" s="95">
        <v>0.17</v>
      </c>
      <c r="N819" s="92"/>
      <c r="O819" s="93" t="s">
        <v>152</v>
      </c>
      <c r="P819" s="87">
        <f t="shared" si="295"/>
        <v>0</v>
      </c>
      <c r="Q819" s="93" t="s">
        <v>152</v>
      </c>
      <c r="R819" s="94">
        <f t="shared" si="296"/>
        <v>0</v>
      </c>
      <c r="S819" s="16">
        <f t="shared" si="274"/>
        <v>0</v>
      </c>
    </row>
    <row r="820" spans="1:19" s="106" customFormat="1">
      <c r="A820" s="98" t="s">
        <v>488</v>
      </c>
      <c r="B820" s="106" t="s">
        <v>25</v>
      </c>
      <c r="C820" s="107"/>
      <c r="D820" s="108" t="s">
        <v>152</v>
      </c>
      <c r="E820" s="109">
        <v>1</v>
      </c>
      <c r="F820" s="110">
        <v>16</v>
      </c>
      <c r="G820" s="111" t="s">
        <v>40</v>
      </c>
      <c r="H820" s="110">
        <v>12</v>
      </c>
      <c r="I820" s="111" t="s">
        <v>152</v>
      </c>
      <c r="J820" s="112">
        <f>3648000/16/12</f>
        <v>19000</v>
      </c>
      <c r="K820" s="108" t="s">
        <v>152</v>
      </c>
      <c r="L820" s="113"/>
      <c r="M820" s="113">
        <v>0.17</v>
      </c>
      <c r="N820" s="110"/>
      <c r="O820" s="111" t="s">
        <v>152</v>
      </c>
      <c r="P820" s="107">
        <f t="shared" si="295"/>
        <v>192</v>
      </c>
      <c r="Q820" s="111" t="s">
        <v>152</v>
      </c>
      <c r="R820" s="112">
        <f t="shared" si="296"/>
        <v>3027840</v>
      </c>
      <c r="S820" s="104">
        <f t="shared" si="274"/>
        <v>2727783.7837837837</v>
      </c>
    </row>
    <row r="821" spans="1:19" s="80" customFormat="1">
      <c r="A821" s="79" t="s">
        <v>489</v>
      </c>
      <c r="B821" s="80" t="s">
        <v>25</v>
      </c>
      <c r="C821" s="81"/>
      <c r="D821" s="82" t="s">
        <v>152</v>
      </c>
      <c r="E821" s="83"/>
      <c r="F821" s="84">
        <v>24</v>
      </c>
      <c r="G821" s="85" t="s">
        <v>33</v>
      </c>
      <c r="H821" s="84">
        <v>6</v>
      </c>
      <c r="I821" s="85" t="s">
        <v>152</v>
      </c>
      <c r="J821" s="16">
        <v>22000</v>
      </c>
      <c r="K821" s="82" t="s">
        <v>152</v>
      </c>
      <c r="L821" s="86"/>
      <c r="M821" s="86">
        <v>0.17</v>
      </c>
      <c r="N821" s="84"/>
      <c r="O821" s="85" t="s">
        <v>152</v>
      </c>
      <c r="P821" s="81">
        <f t="shared" si="295"/>
        <v>0</v>
      </c>
      <c r="Q821" s="85" t="s">
        <v>152</v>
      </c>
      <c r="R821" s="16">
        <f t="shared" si="296"/>
        <v>0</v>
      </c>
      <c r="S821" s="16">
        <f t="shared" si="274"/>
        <v>0</v>
      </c>
    </row>
    <row r="823" spans="1:19">
      <c r="A823" s="164" t="s">
        <v>885</v>
      </c>
      <c r="B823" s="2" t="s">
        <v>261</v>
      </c>
      <c r="D823" s="4" t="s">
        <v>152</v>
      </c>
      <c r="E823" s="5">
        <v>1</v>
      </c>
      <c r="F823" s="6">
        <v>1</v>
      </c>
      <c r="G823" s="7" t="s">
        <v>20</v>
      </c>
      <c r="H823" s="6">
        <v>144</v>
      </c>
      <c r="I823" s="7" t="s">
        <v>152</v>
      </c>
      <c r="J823" s="8">
        <v>18500</v>
      </c>
      <c r="K823" s="4" t="s">
        <v>152</v>
      </c>
      <c r="O823" s="85" t="s">
        <v>152</v>
      </c>
      <c r="P823" s="81">
        <f t="shared" ref="P823" si="297">(C823+(E823*F823*H823))-N823</f>
        <v>144</v>
      </c>
      <c r="Q823" s="85" t="s">
        <v>152</v>
      </c>
      <c r="R823" s="16">
        <f t="shared" ref="R823" si="298">P823*(J823-(J823*L823)-((J823-(J823*L823))*M823))</f>
        <v>2664000</v>
      </c>
      <c r="S823" s="16">
        <f t="shared" ref="S823" si="299">R823/1.11</f>
        <v>2400000</v>
      </c>
    </row>
    <row r="824" spans="1:19">
      <c r="A824" s="164" t="s">
        <v>886</v>
      </c>
      <c r="B824" s="2" t="s">
        <v>261</v>
      </c>
      <c r="D824" s="4" t="s">
        <v>152</v>
      </c>
      <c r="E824" s="5">
        <v>1</v>
      </c>
      <c r="F824" s="6">
        <v>1</v>
      </c>
      <c r="G824" s="7" t="s">
        <v>20</v>
      </c>
      <c r="H824" s="6">
        <v>240</v>
      </c>
      <c r="I824" s="7" t="s">
        <v>152</v>
      </c>
      <c r="J824" s="8">
        <v>8800</v>
      </c>
      <c r="K824" s="4" t="s">
        <v>152</v>
      </c>
      <c r="O824" s="85" t="s">
        <v>152</v>
      </c>
      <c r="P824" s="81">
        <f t="shared" ref="P824:P825" si="300">(C824+(E824*F824*H824))-N824</f>
        <v>240</v>
      </c>
      <c r="Q824" s="85" t="s">
        <v>152</v>
      </c>
      <c r="R824" s="16">
        <f t="shared" ref="R824:R825" si="301">P824*(J824-(J824*L824)-((J824-(J824*L824))*M824))</f>
        <v>2112000</v>
      </c>
      <c r="S824" s="16">
        <f t="shared" ref="S824:S825" si="302">R824/1.11</f>
        <v>1902702.7027027025</v>
      </c>
    </row>
    <row r="825" spans="1:19">
      <c r="A825" s="164" t="s">
        <v>887</v>
      </c>
      <c r="B825" s="2" t="s">
        <v>261</v>
      </c>
      <c r="D825" s="4" t="s">
        <v>152</v>
      </c>
      <c r="E825" s="5">
        <v>2</v>
      </c>
      <c r="F825" s="6">
        <v>1</v>
      </c>
      <c r="G825" s="7" t="s">
        <v>20</v>
      </c>
      <c r="H825" s="6">
        <v>288</v>
      </c>
      <c r="I825" s="7" t="s">
        <v>152</v>
      </c>
      <c r="J825" s="8">
        <v>10800</v>
      </c>
      <c r="K825" s="4" t="s">
        <v>152</v>
      </c>
      <c r="O825" s="85" t="s">
        <v>152</v>
      </c>
      <c r="P825" s="81">
        <f t="shared" si="300"/>
        <v>576</v>
      </c>
      <c r="Q825" s="85" t="s">
        <v>152</v>
      </c>
      <c r="R825" s="16">
        <f t="shared" si="301"/>
        <v>6220800</v>
      </c>
      <c r="S825" s="16">
        <f t="shared" si="302"/>
        <v>5604324.3243243238</v>
      </c>
    </row>
    <row r="827" spans="1:19" ht="15.75">
      <c r="A827" s="14" t="s">
        <v>490</v>
      </c>
    </row>
    <row r="828" spans="1:19">
      <c r="A828" s="17" t="s">
        <v>491</v>
      </c>
      <c r="B828" s="2" t="s">
        <v>18</v>
      </c>
      <c r="C828" s="3">
        <v>72</v>
      </c>
      <c r="D828" s="4" t="s">
        <v>19</v>
      </c>
      <c r="F828" s="6">
        <v>12</v>
      </c>
      <c r="G828" s="7" t="s">
        <v>33</v>
      </c>
      <c r="H828" s="6">
        <v>24</v>
      </c>
      <c r="I828" s="7" t="s">
        <v>19</v>
      </c>
      <c r="J828" s="8">
        <v>3550</v>
      </c>
      <c r="K828" s="4" t="s">
        <v>19</v>
      </c>
      <c r="L828" s="9">
        <v>0.125</v>
      </c>
      <c r="M828" s="9">
        <v>0.05</v>
      </c>
      <c r="O828" s="7" t="s">
        <v>19</v>
      </c>
      <c r="P828" s="3">
        <f>(C828+(E828*F828*H828))-N828</f>
        <v>72</v>
      </c>
      <c r="Q828" s="7" t="s">
        <v>19</v>
      </c>
      <c r="R828" s="8">
        <f>P828*(J828-(J828*L828)-((J828-(J828*L828))*M828))</f>
        <v>212467.5</v>
      </c>
      <c r="S828" s="8">
        <f t="shared" si="274"/>
        <v>191412.16216216216</v>
      </c>
    </row>
    <row r="829" spans="1:19" s="19" customFormat="1">
      <c r="A829" s="31" t="s">
        <v>829</v>
      </c>
      <c r="B829" s="32" t="s">
        <v>18</v>
      </c>
      <c r="C829" s="33"/>
      <c r="D829" s="34" t="s">
        <v>19</v>
      </c>
      <c r="E829" s="35">
        <v>1</v>
      </c>
      <c r="F829" s="36">
        <v>1</v>
      </c>
      <c r="G829" s="37" t="s">
        <v>20</v>
      </c>
      <c r="H829" s="36">
        <v>288</v>
      </c>
      <c r="I829" s="37" t="s">
        <v>19</v>
      </c>
      <c r="J829" s="38">
        <v>4000</v>
      </c>
      <c r="K829" s="34" t="s">
        <v>19</v>
      </c>
      <c r="L829" s="39">
        <v>0.125</v>
      </c>
      <c r="M829" s="39">
        <v>0.05</v>
      </c>
      <c r="N829" s="36"/>
      <c r="O829" s="37" t="s">
        <v>19</v>
      </c>
      <c r="P829" s="33">
        <f>(C829+(E829*F829*H829))-N829</f>
        <v>288</v>
      </c>
      <c r="Q829" s="37" t="s">
        <v>19</v>
      </c>
      <c r="R829" s="38">
        <f>P829*(J829-(J829*L829)-((J829-(J829*L829))*M829))</f>
        <v>957600</v>
      </c>
      <c r="S829" s="38">
        <f t="shared" ref="S829" si="303">R829/1.11</f>
        <v>862702.70270270261</v>
      </c>
    </row>
    <row r="830" spans="1:19">
      <c r="A830" s="31" t="s">
        <v>492</v>
      </c>
      <c r="B830" s="32" t="s">
        <v>18</v>
      </c>
      <c r="C830" s="33">
        <v>276</v>
      </c>
      <c r="D830" s="34" t="s">
        <v>19</v>
      </c>
      <c r="E830" s="35"/>
      <c r="F830" s="36">
        <v>1</v>
      </c>
      <c r="G830" s="37" t="s">
        <v>20</v>
      </c>
      <c r="H830" s="36">
        <v>288</v>
      </c>
      <c r="I830" s="37" t="s">
        <v>19</v>
      </c>
      <c r="J830" s="38">
        <v>3550</v>
      </c>
      <c r="K830" s="34" t="s">
        <v>19</v>
      </c>
      <c r="L830" s="39">
        <v>0.125</v>
      </c>
      <c r="M830" s="39">
        <v>0.05</v>
      </c>
      <c r="N830" s="36"/>
      <c r="O830" s="37" t="s">
        <v>19</v>
      </c>
      <c r="P830" s="33">
        <f>(C830+(E830*F830*H830))-N830</f>
        <v>276</v>
      </c>
      <c r="Q830" s="37" t="s">
        <v>19</v>
      </c>
      <c r="R830" s="38">
        <f>P830*(J830-(J830*L830)-((J830-(J830*L830))*M830))</f>
        <v>814458.75</v>
      </c>
      <c r="S830" s="38">
        <f t="shared" si="274"/>
        <v>733746.62162162154</v>
      </c>
    </row>
    <row r="831" spans="1:19" s="19" customFormat="1">
      <c r="A831" s="18" t="s">
        <v>493</v>
      </c>
      <c r="B831" s="19" t="s">
        <v>18</v>
      </c>
      <c r="C831" s="20">
        <v>2508</v>
      </c>
      <c r="D831" s="21" t="s">
        <v>19</v>
      </c>
      <c r="E831" s="26">
        <v>30</v>
      </c>
      <c r="F831" s="22">
        <v>1</v>
      </c>
      <c r="G831" s="23" t="s">
        <v>20</v>
      </c>
      <c r="H831" s="22">
        <v>288</v>
      </c>
      <c r="I831" s="23" t="s">
        <v>19</v>
      </c>
      <c r="J831" s="24">
        <v>4800</v>
      </c>
      <c r="K831" s="21" t="s">
        <v>19</v>
      </c>
      <c r="L831" s="25">
        <v>0.125</v>
      </c>
      <c r="M831" s="25">
        <v>0.05</v>
      </c>
      <c r="N831" s="22"/>
      <c r="O831" s="23" t="s">
        <v>19</v>
      </c>
      <c r="P831" s="20">
        <f>(C831+(E831*F831*H831))-N831</f>
        <v>11148</v>
      </c>
      <c r="Q831" s="23" t="s">
        <v>19</v>
      </c>
      <c r="R831" s="24">
        <f>P831*(J831-(J831*L831)-((J831-(J831*L831))*M831))</f>
        <v>44480520</v>
      </c>
      <c r="S831" s="24">
        <f t="shared" si="274"/>
        <v>40072540.540540539</v>
      </c>
    </row>
    <row r="832" spans="1:19" s="19" customFormat="1">
      <c r="A832" s="18"/>
      <c r="C832" s="20"/>
      <c r="D832" s="21"/>
      <c r="E832" s="26"/>
      <c r="F832" s="22"/>
      <c r="G832" s="23"/>
      <c r="H832" s="22"/>
      <c r="I832" s="23"/>
      <c r="J832" s="24"/>
      <c r="K832" s="21"/>
      <c r="L832" s="25"/>
      <c r="M832" s="25"/>
      <c r="N832" s="22"/>
      <c r="O832" s="23"/>
      <c r="P832" s="20"/>
      <c r="Q832" s="23"/>
      <c r="R832" s="24"/>
      <c r="S832" s="24"/>
    </row>
    <row r="833" spans="1:19" s="19" customFormat="1">
      <c r="A833" s="18" t="s">
        <v>494</v>
      </c>
      <c r="B833" s="19" t="s">
        <v>25</v>
      </c>
      <c r="C833" s="20">
        <v>174</v>
      </c>
      <c r="D833" s="21" t="s">
        <v>40</v>
      </c>
      <c r="E833" s="26">
        <v>9</v>
      </c>
      <c r="F833" s="22">
        <v>1</v>
      </c>
      <c r="G833" s="23" t="s">
        <v>20</v>
      </c>
      <c r="H833" s="22">
        <v>24</v>
      </c>
      <c r="I833" s="23" t="s">
        <v>40</v>
      </c>
      <c r="J833" s="24">
        <f>1497600/24</f>
        <v>62400</v>
      </c>
      <c r="K833" s="21" t="s">
        <v>40</v>
      </c>
      <c r="L833" s="25"/>
      <c r="M833" s="25">
        <v>0.17</v>
      </c>
      <c r="N833" s="22"/>
      <c r="O833" s="23" t="s">
        <v>40</v>
      </c>
      <c r="P833" s="20">
        <f>(C833+(E833*F833*H833))-N833</f>
        <v>390</v>
      </c>
      <c r="Q833" s="23" t="s">
        <v>40</v>
      </c>
      <c r="R833" s="24">
        <f>P833*(J833-(J833*L833)-((J833-(J833*L833))*M833))</f>
        <v>20198880</v>
      </c>
      <c r="S833" s="24">
        <f t="shared" si="274"/>
        <v>18197189.189189188</v>
      </c>
    </row>
    <row r="834" spans="1:19" s="19" customFormat="1">
      <c r="A834" s="18"/>
      <c r="C834" s="20"/>
      <c r="D834" s="21"/>
      <c r="E834" s="26"/>
      <c r="F834" s="22"/>
      <c r="G834" s="23"/>
      <c r="H834" s="22"/>
      <c r="I834" s="23"/>
      <c r="J834" s="24"/>
      <c r="K834" s="21"/>
      <c r="L834" s="25"/>
      <c r="M834" s="25"/>
      <c r="N834" s="22"/>
      <c r="O834" s="23"/>
      <c r="P834" s="20"/>
      <c r="Q834" s="23"/>
      <c r="R834" s="24"/>
      <c r="S834" s="8"/>
    </row>
    <row r="835" spans="1:19">
      <c r="A835" s="56" t="s">
        <v>495</v>
      </c>
      <c r="B835" s="2" t="s">
        <v>172</v>
      </c>
      <c r="C835" s="3">
        <v>1026</v>
      </c>
      <c r="D835" s="4" t="s">
        <v>19</v>
      </c>
      <c r="F835" s="6">
        <v>1</v>
      </c>
      <c r="G835" s="7" t="s">
        <v>20</v>
      </c>
      <c r="H835" s="6">
        <v>120</v>
      </c>
      <c r="I835" s="7" t="s">
        <v>19</v>
      </c>
      <c r="J835" s="8">
        <v>11500</v>
      </c>
      <c r="K835" s="4" t="s">
        <v>19</v>
      </c>
      <c r="O835" s="7" t="s">
        <v>19</v>
      </c>
      <c r="P835" s="3">
        <f t="shared" ref="P835:P838" si="304">(C835+(E835*F835*H835))-N835</f>
        <v>1026</v>
      </c>
      <c r="Q835" s="7" t="s">
        <v>19</v>
      </c>
      <c r="R835" s="8">
        <f t="shared" ref="R835:R838" si="305">P835*(J835-(J835*L835)-((J835-(J835*L835))*M835))</f>
        <v>11799000</v>
      </c>
      <c r="S835" s="8">
        <f t="shared" si="274"/>
        <v>10629729.729729729</v>
      </c>
    </row>
    <row r="836" spans="1:19">
      <c r="A836" s="56" t="s">
        <v>717</v>
      </c>
      <c r="B836" s="2" t="s">
        <v>172</v>
      </c>
      <c r="C836" s="3">
        <v>251</v>
      </c>
      <c r="D836" s="4" t="s">
        <v>19</v>
      </c>
      <c r="F836" s="6">
        <v>1</v>
      </c>
      <c r="G836" s="7" t="s">
        <v>20</v>
      </c>
      <c r="H836" s="6">
        <v>100</v>
      </c>
      <c r="I836" s="7" t="s">
        <v>19</v>
      </c>
      <c r="J836" s="8">
        <v>13500</v>
      </c>
      <c r="K836" s="4" t="s">
        <v>19</v>
      </c>
      <c r="L836" s="9">
        <v>0.05</v>
      </c>
      <c r="O836" s="7" t="s">
        <v>19</v>
      </c>
      <c r="P836" s="3">
        <f t="shared" si="304"/>
        <v>251</v>
      </c>
      <c r="Q836" s="7" t="s">
        <v>19</v>
      </c>
      <c r="R836" s="8">
        <f t="shared" si="305"/>
        <v>3219075</v>
      </c>
      <c r="S836" s="8">
        <f t="shared" si="274"/>
        <v>2900067.5675675673</v>
      </c>
    </row>
    <row r="837" spans="1:19">
      <c r="A837" s="56" t="s">
        <v>496</v>
      </c>
      <c r="B837" s="2" t="s">
        <v>172</v>
      </c>
      <c r="C837" s="3">
        <v>486</v>
      </c>
      <c r="D837" s="4" t="s">
        <v>19</v>
      </c>
      <c r="F837" s="6">
        <v>1</v>
      </c>
      <c r="G837" s="7" t="s">
        <v>20</v>
      </c>
      <c r="H837" s="6">
        <v>96</v>
      </c>
      <c r="I837" s="7" t="s">
        <v>19</v>
      </c>
      <c r="J837" s="8">
        <v>21000</v>
      </c>
      <c r="K837" s="4" t="s">
        <v>19</v>
      </c>
      <c r="O837" s="7" t="s">
        <v>19</v>
      </c>
      <c r="P837" s="3">
        <f t="shared" si="304"/>
        <v>486</v>
      </c>
      <c r="Q837" s="7" t="s">
        <v>19</v>
      </c>
      <c r="R837" s="8">
        <f t="shared" si="305"/>
        <v>10206000</v>
      </c>
      <c r="S837" s="8">
        <f t="shared" si="274"/>
        <v>9194594.5945945941</v>
      </c>
    </row>
    <row r="838" spans="1:19" s="80" customFormat="1">
      <c r="A838" s="147" t="s">
        <v>688</v>
      </c>
      <c r="B838" s="80" t="s">
        <v>172</v>
      </c>
      <c r="C838" s="81"/>
      <c r="D838" s="82" t="s">
        <v>19</v>
      </c>
      <c r="E838" s="83"/>
      <c r="F838" s="84">
        <v>1</v>
      </c>
      <c r="G838" s="85" t="s">
        <v>20</v>
      </c>
      <c r="H838" s="84">
        <v>144</v>
      </c>
      <c r="I838" s="85" t="s">
        <v>19</v>
      </c>
      <c r="J838" s="16">
        <v>8750</v>
      </c>
      <c r="K838" s="82" t="s">
        <v>19</v>
      </c>
      <c r="L838" s="86"/>
      <c r="M838" s="86"/>
      <c r="N838" s="84"/>
      <c r="O838" s="85" t="s">
        <v>19</v>
      </c>
      <c r="P838" s="81">
        <f t="shared" si="304"/>
        <v>0</v>
      </c>
      <c r="Q838" s="85" t="s">
        <v>19</v>
      </c>
      <c r="R838" s="16">
        <f t="shared" si="305"/>
        <v>0</v>
      </c>
      <c r="S838" s="16">
        <f t="shared" si="274"/>
        <v>0</v>
      </c>
    </row>
    <row r="839" spans="1:19">
      <c r="A839" s="56" t="s">
        <v>689</v>
      </c>
      <c r="B839" s="2" t="s">
        <v>172</v>
      </c>
      <c r="C839" s="3">
        <v>24</v>
      </c>
      <c r="D839" s="4" t="s">
        <v>19</v>
      </c>
      <c r="F839" s="6">
        <v>1</v>
      </c>
      <c r="G839" s="7" t="s">
        <v>20</v>
      </c>
      <c r="H839" s="6">
        <v>144</v>
      </c>
      <c r="I839" s="7" t="s">
        <v>19</v>
      </c>
      <c r="J839" s="8">
        <v>8750</v>
      </c>
      <c r="K839" s="4" t="s">
        <v>19</v>
      </c>
      <c r="O839" s="7" t="s">
        <v>19</v>
      </c>
      <c r="P839" s="3">
        <f t="shared" ref="P839:P844" si="306">(C839+(E839*F839*H839))-N839</f>
        <v>24</v>
      </c>
      <c r="Q839" s="7" t="s">
        <v>19</v>
      </c>
      <c r="R839" s="8">
        <f t="shared" ref="R839:R844" si="307">P839*(J839-(J839*L839)-((J839-(J839*L839))*M839))</f>
        <v>210000</v>
      </c>
      <c r="S839" s="8">
        <f t="shared" ref="S839:S844" si="308">R839/1.11</f>
        <v>189189.18918918917</v>
      </c>
    </row>
    <row r="840" spans="1:19">
      <c r="A840" s="56" t="s">
        <v>690</v>
      </c>
      <c r="B840" s="2" t="s">
        <v>172</v>
      </c>
      <c r="C840" s="3">
        <v>40</v>
      </c>
      <c r="D840" s="4" t="s">
        <v>19</v>
      </c>
      <c r="F840" s="6">
        <v>1</v>
      </c>
      <c r="G840" s="7" t="s">
        <v>20</v>
      </c>
      <c r="H840" s="6">
        <v>160</v>
      </c>
      <c r="I840" s="7" t="s">
        <v>19</v>
      </c>
      <c r="J840" s="8">
        <v>8750</v>
      </c>
      <c r="K840" s="4" t="s">
        <v>19</v>
      </c>
      <c r="O840" s="7" t="s">
        <v>19</v>
      </c>
      <c r="P840" s="3">
        <f t="shared" si="306"/>
        <v>40</v>
      </c>
      <c r="Q840" s="7" t="s">
        <v>19</v>
      </c>
      <c r="R840" s="8">
        <f t="shared" si="307"/>
        <v>350000</v>
      </c>
      <c r="S840" s="8">
        <f t="shared" si="308"/>
        <v>315315.31531531527</v>
      </c>
    </row>
    <row r="841" spans="1:19" s="19" customFormat="1">
      <c r="A841" s="48" t="s">
        <v>840</v>
      </c>
      <c r="B841" s="19" t="s">
        <v>172</v>
      </c>
      <c r="C841" s="20"/>
      <c r="D841" s="21" t="s">
        <v>19</v>
      </c>
      <c r="E841" s="26">
        <v>6</v>
      </c>
      <c r="F841" s="22">
        <v>1</v>
      </c>
      <c r="G841" s="23" t="s">
        <v>20</v>
      </c>
      <c r="H841" s="22">
        <v>160</v>
      </c>
      <c r="I841" s="23" t="s">
        <v>19</v>
      </c>
      <c r="J841" s="24">
        <v>9500</v>
      </c>
      <c r="K841" s="21" t="s">
        <v>19</v>
      </c>
      <c r="L841" s="25">
        <v>0.05</v>
      </c>
      <c r="M841" s="25"/>
      <c r="N841" s="22"/>
      <c r="O841" s="23" t="s">
        <v>19</v>
      </c>
      <c r="P841" s="20">
        <f t="shared" si="306"/>
        <v>960</v>
      </c>
      <c r="Q841" s="23" t="s">
        <v>19</v>
      </c>
      <c r="R841" s="24">
        <f t="shared" si="307"/>
        <v>8664000</v>
      </c>
      <c r="S841" s="24">
        <f t="shared" si="308"/>
        <v>7805405.405405405</v>
      </c>
    </row>
    <row r="842" spans="1:19">
      <c r="A842" s="48" t="s">
        <v>834</v>
      </c>
      <c r="B842" s="2" t="s">
        <v>172</v>
      </c>
      <c r="D842" s="4" t="s">
        <v>19</v>
      </c>
      <c r="E842" s="5">
        <v>3</v>
      </c>
      <c r="F842" s="6">
        <v>1</v>
      </c>
      <c r="G842" s="7" t="s">
        <v>20</v>
      </c>
      <c r="H842" s="6">
        <v>192</v>
      </c>
      <c r="I842" s="7" t="s">
        <v>19</v>
      </c>
      <c r="J842" s="8">
        <v>9500</v>
      </c>
      <c r="K842" s="4" t="s">
        <v>19</v>
      </c>
      <c r="L842" s="9">
        <v>0.05</v>
      </c>
      <c r="O842" s="7" t="s">
        <v>19</v>
      </c>
      <c r="P842" s="3">
        <f t="shared" si="306"/>
        <v>576</v>
      </c>
      <c r="Q842" s="7" t="s">
        <v>19</v>
      </c>
      <c r="R842" s="8">
        <f t="shared" si="307"/>
        <v>5198400</v>
      </c>
      <c r="S842" s="8">
        <f t="shared" si="308"/>
        <v>4683243.2432432426</v>
      </c>
    </row>
    <row r="843" spans="1:19">
      <c r="A843" s="165" t="s">
        <v>903</v>
      </c>
      <c r="B843" s="2" t="s">
        <v>172</v>
      </c>
      <c r="D843" s="4" t="s">
        <v>19</v>
      </c>
      <c r="E843" s="5">
        <v>10</v>
      </c>
      <c r="F843" s="6">
        <v>1</v>
      </c>
      <c r="G843" s="7" t="s">
        <v>20</v>
      </c>
      <c r="H843" s="6">
        <v>144</v>
      </c>
      <c r="I843" s="7" t="s">
        <v>19</v>
      </c>
      <c r="J843" s="8">
        <v>9500</v>
      </c>
      <c r="K843" s="4" t="s">
        <v>19</v>
      </c>
      <c r="L843" s="9">
        <v>0.05</v>
      </c>
      <c r="O843" s="7" t="s">
        <v>19</v>
      </c>
      <c r="P843" s="3">
        <f t="shared" si="306"/>
        <v>1440</v>
      </c>
      <c r="Q843" s="7" t="s">
        <v>19</v>
      </c>
      <c r="R843" s="8">
        <f t="shared" si="307"/>
        <v>12996000</v>
      </c>
      <c r="S843" s="8">
        <f t="shared" si="308"/>
        <v>11708108.108108107</v>
      </c>
    </row>
    <row r="844" spans="1:19">
      <c r="A844" s="165" t="s">
        <v>904</v>
      </c>
      <c r="B844" s="2" t="s">
        <v>172</v>
      </c>
      <c r="D844" s="4" t="s">
        <v>19</v>
      </c>
      <c r="E844" s="5">
        <v>25</v>
      </c>
      <c r="F844" s="6">
        <v>1</v>
      </c>
      <c r="G844" s="7" t="s">
        <v>20</v>
      </c>
      <c r="H844" s="6">
        <v>144</v>
      </c>
      <c r="I844" s="7" t="s">
        <v>19</v>
      </c>
      <c r="J844" s="8">
        <v>9500</v>
      </c>
      <c r="K844" s="4" t="s">
        <v>19</v>
      </c>
      <c r="L844" s="9">
        <v>0.05</v>
      </c>
      <c r="O844" s="7" t="s">
        <v>19</v>
      </c>
      <c r="P844" s="3">
        <f t="shared" si="306"/>
        <v>3600</v>
      </c>
      <c r="Q844" s="7" t="s">
        <v>19</v>
      </c>
      <c r="R844" s="8">
        <f t="shared" si="307"/>
        <v>32490000</v>
      </c>
      <c r="S844" s="8">
        <f t="shared" si="308"/>
        <v>29270270.270270269</v>
      </c>
    </row>
    <row r="845" spans="1:19">
      <c r="A845" s="48"/>
    </row>
    <row r="846" spans="1:19">
      <c r="A846" s="17" t="s">
        <v>684</v>
      </c>
      <c r="B846" s="2" t="s">
        <v>261</v>
      </c>
      <c r="C846" s="3">
        <v>2244</v>
      </c>
      <c r="D846" s="4" t="s">
        <v>19</v>
      </c>
      <c r="E846" s="41"/>
      <c r="F846" s="6">
        <v>1</v>
      </c>
      <c r="G846" s="7" t="s">
        <v>20</v>
      </c>
      <c r="H846" s="42">
        <v>480</v>
      </c>
      <c r="I846" s="7" t="s">
        <v>19</v>
      </c>
      <c r="J846" s="8">
        <v>26000</v>
      </c>
      <c r="K846" s="4" t="s">
        <v>19</v>
      </c>
      <c r="L846" s="40">
        <v>0.2</v>
      </c>
      <c r="O846" s="7" t="s">
        <v>19</v>
      </c>
      <c r="P846" s="3">
        <f>(C846+(E846*F846*H846))-N846</f>
        <v>2244</v>
      </c>
      <c r="Q846" s="7" t="s">
        <v>19</v>
      </c>
      <c r="R846" s="8">
        <f>P846*(J846-(J846*L846)-((J846-(J846*L846))*M846))</f>
        <v>46675200</v>
      </c>
      <c r="S846" s="8">
        <f>R846/1.11</f>
        <v>42049729.729729727</v>
      </c>
    </row>
    <row r="847" spans="1:19">
      <c r="A847" s="17" t="s">
        <v>686</v>
      </c>
      <c r="B847" s="2" t="s">
        <v>261</v>
      </c>
      <c r="C847" s="3">
        <v>2208</v>
      </c>
      <c r="D847" s="4" t="s">
        <v>19</v>
      </c>
      <c r="E847" s="41"/>
      <c r="F847" s="6">
        <v>1</v>
      </c>
      <c r="G847" s="7" t="s">
        <v>20</v>
      </c>
      <c r="H847" s="42">
        <v>480</v>
      </c>
      <c r="I847" s="7" t="s">
        <v>19</v>
      </c>
      <c r="J847" s="8">
        <v>20800</v>
      </c>
      <c r="K847" s="4" t="s">
        <v>19</v>
      </c>
      <c r="L847" s="40">
        <v>0.3</v>
      </c>
      <c r="O847" s="7" t="s">
        <v>19</v>
      </c>
      <c r="P847" s="3">
        <f>(C847+(E847*F847*H847))-N847</f>
        <v>2208</v>
      </c>
      <c r="Q847" s="7" t="s">
        <v>19</v>
      </c>
      <c r="R847" s="8">
        <f>P847*(J847-(J847*L847)-((J847-(J847*L847))*M847))</f>
        <v>32148480</v>
      </c>
      <c r="S847" s="8">
        <f>R847/1.11</f>
        <v>28962594.59459459</v>
      </c>
    </row>
    <row r="848" spans="1:19">
      <c r="A848" s="17" t="s">
        <v>682</v>
      </c>
      <c r="B848" s="2" t="s">
        <v>261</v>
      </c>
      <c r="C848" s="3">
        <v>1944</v>
      </c>
      <c r="D848" s="4" t="s">
        <v>19</v>
      </c>
      <c r="E848" s="41"/>
      <c r="F848" s="6">
        <v>1</v>
      </c>
      <c r="G848" s="7" t="s">
        <v>20</v>
      </c>
      <c r="H848" s="42">
        <v>480</v>
      </c>
      <c r="I848" s="7" t="s">
        <v>19</v>
      </c>
      <c r="J848" s="8">
        <v>15000</v>
      </c>
      <c r="K848" s="4" t="s">
        <v>19</v>
      </c>
      <c r="L848" s="40">
        <v>0.2</v>
      </c>
      <c r="O848" s="7" t="s">
        <v>19</v>
      </c>
      <c r="P848" s="3">
        <f>(C848+(E848*F848*H848))-N848</f>
        <v>1944</v>
      </c>
      <c r="Q848" s="7" t="s">
        <v>19</v>
      </c>
      <c r="R848" s="8">
        <f>P848*(J848-(J848*L848)-((J848-(J848*L848))*M848))</f>
        <v>23328000</v>
      </c>
      <c r="S848" s="8">
        <f>R848/1.11</f>
        <v>21016216.216216214</v>
      </c>
    </row>
    <row r="849" spans="1:19">
      <c r="A849" s="17" t="s">
        <v>685</v>
      </c>
      <c r="B849" s="2" t="s">
        <v>261</v>
      </c>
      <c r="C849" s="3">
        <v>2094</v>
      </c>
      <c r="D849" s="4" t="s">
        <v>19</v>
      </c>
      <c r="E849" s="41"/>
      <c r="F849" s="6">
        <v>1</v>
      </c>
      <c r="G849" s="7" t="s">
        <v>20</v>
      </c>
      <c r="H849" s="42">
        <v>480</v>
      </c>
      <c r="I849" s="7" t="s">
        <v>19</v>
      </c>
      <c r="J849" s="8">
        <v>29900</v>
      </c>
      <c r="K849" s="4" t="s">
        <v>19</v>
      </c>
      <c r="L849" s="40">
        <v>0.25</v>
      </c>
      <c r="O849" s="7" t="s">
        <v>19</v>
      </c>
      <c r="P849" s="3">
        <f>(C849+(E849*F849*H849))-N849</f>
        <v>2094</v>
      </c>
      <c r="Q849" s="7" t="s">
        <v>19</v>
      </c>
      <c r="R849" s="8">
        <f>P849*(J849-(J849*L849)-((J849-(J849*L849))*M849))</f>
        <v>46957950</v>
      </c>
      <c r="S849" s="8">
        <f>R849/1.11</f>
        <v>42304459.459459454</v>
      </c>
    </row>
    <row r="850" spans="1:19">
      <c r="A850" s="17" t="s">
        <v>683</v>
      </c>
      <c r="B850" s="2" t="s">
        <v>261</v>
      </c>
      <c r="C850" s="3">
        <v>1272</v>
      </c>
      <c r="D850" s="4" t="s">
        <v>19</v>
      </c>
      <c r="E850" s="41"/>
      <c r="F850" s="6">
        <v>1</v>
      </c>
      <c r="G850" s="7" t="s">
        <v>20</v>
      </c>
      <c r="H850" s="42">
        <v>384</v>
      </c>
      <c r="I850" s="7" t="s">
        <v>19</v>
      </c>
      <c r="J850" s="8">
        <v>16000</v>
      </c>
      <c r="K850" s="4" t="s">
        <v>19</v>
      </c>
      <c r="L850" s="40">
        <v>0.25</v>
      </c>
      <c r="O850" s="7" t="s">
        <v>19</v>
      </c>
      <c r="P850" s="3">
        <f>(C850+(E850*F850*H850))-N850</f>
        <v>1272</v>
      </c>
      <c r="Q850" s="7" t="s">
        <v>19</v>
      </c>
      <c r="R850" s="8">
        <f>P850*(J850-(J850*L850)-((J850-(J850*L850))*M850))</f>
        <v>15264000</v>
      </c>
      <c r="S850" s="8">
        <f>R850/1.11</f>
        <v>13751351.351351351</v>
      </c>
    </row>
    <row r="852" spans="1:19" ht="15.75">
      <c r="A852" s="14" t="s">
        <v>497</v>
      </c>
    </row>
    <row r="853" spans="1:19">
      <c r="A853" s="15" t="s">
        <v>498</v>
      </c>
    </row>
    <row r="854" spans="1:19">
      <c r="A854" s="17" t="s">
        <v>765</v>
      </c>
      <c r="B854" s="2" t="s">
        <v>18</v>
      </c>
      <c r="D854" s="4" t="s">
        <v>33</v>
      </c>
      <c r="E854" s="5">
        <v>2</v>
      </c>
      <c r="F854" s="6">
        <v>1</v>
      </c>
      <c r="G854" s="7" t="s">
        <v>20</v>
      </c>
      <c r="H854" s="6">
        <v>48</v>
      </c>
      <c r="I854" s="7" t="s">
        <v>33</v>
      </c>
      <c r="J854" s="8">
        <v>31200</v>
      </c>
      <c r="K854" s="4" t="s">
        <v>33</v>
      </c>
      <c r="L854" s="9">
        <v>0.125</v>
      </c>
      <c r="M854" s="9">
        <v>0.05</v>
      </c>
      <c r="O854" s="7" t="s">
        <v>33</v>
      </c>
      <c r="P854" s="3">
        <f>(C854+(E854*F854*H854))-N854</f>
        <v>96</v>
      </c>
      <c r="Q854" s="7" t="s">
        <v>33</v>
      </c>
      <c r="R854" s="8">
        <f>P854*(J854-(J854*L854)-((J854-(J854*L854))*M854))</f>
        <v>2489760</v>
      </c>
      <c r="S854" s="8">
        <f t="shared" si="274"/>
        <v>2243027.0270270268</v>
      </c>
    </row>
    <row r="856" spans="1:19" s="19" customFormat="1">
      <c r="A856" s="49" t="s">
        <v>766</v>
      </c>
      <c r="B856" s="19" t="s">
        <v>25</v>
      </c>
      <c r="C856" s="20">
        <v>122</v>
      </c>
      <c r="D856" s="21" t="s">
        <v>40</v>
      </c>
      <c r="E856" s="26">
        <v>4</v>
      </c>
      <c r="F856" s="22">
        <v>1</v>
      </c>
      <c r="G856" s="23" t="s">
        <v>20</v>
      </c>
      <c r="H856" s="22">
        <v>48</v>
      </c>
      <c r="I856" s="23" t="s">
        <v>40</v>
      </c>
      <c r="J856" s="24">
        <f>1584000/48</f>
        <v>33000</v>
      </c>
      <c r="K856" s="21" t="s">
        <v>40</v>
      </c>
      <c r="L856" s="25"/>
      <c r="M856" s="25">
        <v>0.17</v>
      </c>
      <c r="N856" s="22"/>
      <c r="O856" s="23" t="s">
        <v>40</v>
      </c>
      <c r="P856" s="20">
        <f>(C856+(E856*F856*H856))-N856</f>
        <v>314</v>
      </c>
      <c r="Q856" s="23" t="s">
        <v>40</v>
      </c>
      <c r="R856" s="24">
        <f>P856*(J856-(J856*L856)-((J856-(J856*L856))*M856))</f>
        <v>8600460</v>
      </c>
      <c r="S856" s="24">
        <f t="shared" si="274"/>
        <v>7748162.1621621614</v>
      </c>
    </row>
    <row r="858" spans="1:19" ht="15.75">
      <c r="A858" s="14" t="s">
        <v>499</v>
      </c>
    </row>
    <row r="859" spans="1:19" s="19" customFormat="1">
      <c r="A859" s="31" t="s">
        <v>660</v>
      </c>
      <c r="B859" s="32" t="s">
        <v>18</v>
      </c>
      <c r="C859" s="33"/>
      <c r="D859" s="34" t="s">
        <v>19</v>
      </c>
      <c r="E859" s="35">
        <v>1</v>
      </c>
      <c r="F859" s="36">
        <v>10</v>
      </c>
      <c r="G859" s="37" t="s">
        <v>33</v>
      </c>
      <c r="H859" s="36">
        <v>12</v>
      </c>
      <c r="I859" s="37" t="s">
        <v>19</v>
      </c>
      <c r="J859" s="38">
        <v>11600</v>
      </c>
      <c r="K859" s="34" t="s">
        <v>19</v>
      </c>
      <c r="L859" s="39">
        <v>0.125</v>
      </c>
      <c r="M859" s="39">
        <v>0.05</v>
      </c>
      <c r="N859" s="36"/>
      <c r="O859" s="37" t="s">
        <v>19</v>
      </c>
      <c r="P859" s="33">
        <f t="shared" ref="P859" si="309">(C859+(E859*F859*H859))-N859</f>
        <v>120</v>
      </c>
      <c r="Q859" s="37" t="s">
        <v>19</v>
      </c>
      <c r="R859" s="38">
        <f t="shared" ref="R859" si="310">P859*(J859-(J859*L859)-((J859-(J859*L859))*M859))</f>
        <v>1157100</v>
      </c>
      <c r="S859" s="38">
        <f t="shared" ref="S859" si="311">R859/1.11</f>
        <v>1042432.4324324323</v>
      </c>
    </row>
    <row r="860" spans="1:19" s="19" customFormat="1">
      <c r="A860" s="31" t="s">
        <v>660</v>
      </c>
      <c r="B860" s="32" t="s">
        <v>18</v>
      </c>
      <c r="C860" s="33">
        <v>36</v>
      </c>
      <c r="D860" s="34" t="s">
        <v>19</v>
      </c>
      <c r="E860" s="35"/>
      <c r="F860" s="36">
        <v>10</v>
      </c>
      <c r="G860" s="37" t="s">
        <v>33</v>
      </c>
      <c r="H860" s="36">
        <v>12</v>
      </c>
      <c r="I860" s="37" t="s">
        <v>19</v>
      </c>
      <c r="J860" s="38">
        <v>11200</v>
      </c>
      <c r="K860" s="34" t="s">
        <v>19</v>
      </c>
      <c r="L860" s="39">
        <v>0.125</v>
      </c>
      <c r="M860" s="39">
        <v>0.05</v>
      </c>
      <c r="N860" s="36"/>
      <c r="O860" s="37" t="s">
        <v>19</v>
      </c>
      <c r="P860" s="33">
        <f t="shared" ref="P860:P865" si="312">(C860+(E860*F860*H860))-N860</f>
        <v>36</v>
      </c>
      <c r="Q860" s="37" t="s">
        <v>19</v>
      </c>
      <c r="R860" s="38">
        <f t="shared" ref="R860:R865" si="313">P860*(J860-(J860*L860)-((J860-(J860*L860))*M860))</f>
        <v>335160</v>
      </c>
      <c r="S860" s="38">
        <f t="shared" ref="S860:S861" si="314">R860/1.11</f>
        <v>301945.94594594592</v>
      </c>
    </row>
    <row r="861" spans="1:19" s="19" customFormat="1">
      <c r="A861" s="18" t="s">
        <v>661</v>
      </c>
      <c r="B861" s="19" t="s">
        <v>18</v>
      </c>
      <c r="C861" s="20">
        <v>48</v>
      </c>
      <c r="D861" s="21" t="s">
        <v>19</v>
      </c>
      <c r="E861" s="26"/>
      <c r="F861" s="22">
        <v>10</v>
      </c>
      <c r="G861" s="23" t="s">
        <v>33</v>
      </c>
      <c r="H861" s="22">
        <v>12</v>
      </c>
      <c r="I861" s="23" t="s">
        <v>19</v>
      </c>
      <c r="J861" s="24">
        <v>12400</v>
      </c>
      <c r="K861" s="21" t="s">
        <v>19</v>
      </c>
      <c r="L861" s="25">
        <v>0.125</v>
      </c>
      <c r="M861" s="25">
        <v>0.05</v>
      </c>
      <c r="N861" s="22"/>
      <c r="O861" s="23" t="s">
        <v>19</v>
      </c>
      <c r="P861" s="20">
        <f t="shared" si="312"/>
        <v>48</v>
      </c>
      <c r="Q861" s="23" t="s">
        <v>19</v>
      </c>
      <c r="R861" s="24">
        <f t="shared" si="313"/>
        <v>494760</v>
      </c>
      <c r="S861" s="24">
        <f t="shared" si="314"/>
        <v>445729.7297297297</v>
      </c>
    </row>
    <row r="862" spans="1:19" s="19" customFormat="1">
      <c r="A862" s="18" t="s">
        <v>500</v>
      </c>
      <c r="B862" s="19" t="s">
        <v>18</v>
      </c>
      <c r="C862" s="20">
        <v>840</v>
      </c>
      <c r="D862" s="21" t="s">
        <v>19</v>
      </c>
      <c r="E862" s="26">
        <v>6</v>
      </c>
      <c r="F862" s="22">
        <v>10</v>
      </c>
      <c r="G862" s="23" t="s">
        <v>33</v>
      </c>
      <c r="H862" s="22">
        <v>12</v>
      </c>
      <c r="I862" s="23" t="s">
        <v>19</v>
      </c>
      <c r="J862" s="24">
        <v>12950</v>
      </c>
      <c r="K862" s="21" t="s">
        <v>19</v>
      </c>
      <c r="L862" s="25">
        <v>0.125</v>
      </c>
      <c r="M862" s="25">
        <v>0.05</v>
      </c>
      <c r="N862" s="22"/>
      <c r="O862" s="23" t="s">
        <v>19</v>
      </c>
      <c r="P862" s="20">
        <f t="shared" si="312"/>
        <v>1560</v>
      </c>
      <c r="Q862" s="23" t="s">
        <v>19</v>
      </c>
      <c r="R862" s="24">
        <f t="shared" si="313"/>
        <v>16792912.5</v>
      </c>
      <c r="S862" s="24">
        <f t="shared" si="274"/>
        <v>15128749.999999998</v>
      </c>
    </row>
    <row r="863" spans="1:19">
      <c r="A863" s="17" t="s">
        <v>501</v>
      </c>
      <c r="B863" s="2" t="s">
        <v>18</v>
      </c>
      <c r="C863" s="3">
        <v>60</v>
      </c>
      <c r="D863" s="4" t="s">
        <v>19</v>
      </c>
      <c r="F863" s="6">
        <v>5</v>
      </c>
      <c r="G863" s="7" t="s">
        <v>33</v>
      </c>
      <c r="H863" s="6">
        <v>12</v>
      </c>
      <c r="I863" s="7" t="s">
        <v>19</v>
      </c>
      <c r="J863" s="8">
        <v>27000</v>
      </c>
      <c r="K863" s="4" t="s">
        <v>19</v>
      </c>
      <c r="L863" s="9">
        <v>0.125</v>
      </c>
      <c r="M863" s="9">
        <v>0.05</v>
      </c>
      <c r="O863" s="7" t="s">
        <v>19</v>
      </c>
      <c r="P863" s="3">
        <f t="shared" si="312"/>
        <v>60</v>
      </c>
      <c r="Q863" s="7" t="s">
        <v>19</v>
      </c>
      <c r="R863" s="8">
        <f t="shared" si="313"/>
        <v>1346625</v>
      </c>
      <c r="S863" s="8">
        <f t="shared" si="274"/>
        <v>1213175.6756756755</v>
      </c>
    </row>
    <row r="864" spans="1:19">
      <c r="A864" s="17" t="s">
        <v>502</v>
      </c>
      <c r="B864" s="2" t="s">
        <v>18</v>
      </c>
      <c r="C864" s="3">
        <v>48</v>
      </c>
      <c r="D864" s="4" t="s">
        <v>19</v>
      </c>
      <c r="F864" s="6">
        <v>1</v>
      </c>
      <c r="G864" s="7" t="s">
        <v>20</v>
      </c>
      <c r="H864" s="6">
        <v>24</v>
      </c>
      <c r="I864" s="7" t="s">
        <v>19</v>
      </c>
      <c r="J864" s="8">
        <v>40000</v>
      </c>
      <c r="K864" s="4" t="s">
        <v>19</v>
      </c>
      <c r="L864" s="9">
        <v>0.125</v>
      </c>
      <c r="M864" s="9">
        <v>0.05</v>
      </c>
      <c r="O864" s="7" t="s">
        <v>19</v>
      </c>
      <c r="P864" s="3">
        <f t="shared" si="312"/>
        <v>48</v>
      </c>
      <c r="Q864" s="7" t="s">
        <v>19</v>
      </c>
      <c r="R864" s="8">
        <f t="shared" si="313"/>
        <v>1596000</v>
      </c>
      <c r="S864" s="8">
        <f t="shared" si="274"/>
        <v>1437837.8378378376</v>
      </c>
    </row>
    <row r="865" spans="1:19" s="96" customFormat="1">
      <c r="A865" s="115" t="s">
        <v>503</v>
      </c>
      <c r="B865" s="96" t="s">
        <v>18</v>
      </c>
      <c r="C865" s="99"/>
      <c r="D865" s="100" t="s">
        <v>19</v>
      </c>
      <c r="E865" s="101">
        <v>1</v>
      </c>
      <c r="F865" s="102">
        <v>1</v>
      </c>
      <c r="G865" s="103" t="s">
        <v>20</v>
      </c>
      <c r="H865" s="102">
        <v>24</v>
      </c>
      <c r="I865" s="103" t="s">
        <v>19</v>
      </c>
      <c r="J865" s="104">
        <v>45500</v>
      </c>
      <c r="K865" s="100" t="s">
        <v>19</v>
      </c>
      <c r="L865" s="105">
        <v>0.125</v>
      </c>
      <c r="M865" s="105">
        <v>0.05</v>
      </c>
      <c r="N865" s="102"/>
      <c r="O865" s="103" t="s">
        <v>19</v>
      </c>
      <c r="P865" s="99">
        <f t="shared" si="312"/>
        <v>24</v>
      </c>
      <c r="Q865" s="103" t="s">
        <v>19</v>
      </c>
      <c r="R865" s="104">
        <f t="shared" si="313"/>
        <v>907725</v>
      </c>
      <c r="S865" s="104">
        <f t="shared" si="274"/>
        <v>817770.27027027018</v>
      </c>
    </row>
    <row r="867" spans="1:19" s="80" customFormat="1">
      <c r="A867" s="79" t="s">
        <v>504</v>
      </c>
      <c r="B867" s="80" t="s">
        <v>25</v>
      </c>
      <c r="C867" s="81"/>
      <c r="D867" s="82" t="s">
        <v>19</v>
      </c>
      <c r="E867" s="83"/>
      <c r="F867" s="84">
        <v>10</v>
      </c>
      <c r="G867" s="85" t="s">
        <v>40</v>
      </c>
      <c r="H867" s="84">
        <v>12</v>
      </c>
      <c r="I867" s="85" t="s">
        <v>19</v>
      </c>
      <c r="J867" s="16">
        <f>1500000/10/12</f>
        <v>12500</v>
      </c>
      <c r="K867" s="82" t="s">
        <v>19</v>
      </c>
      <c r="L867" s="86"/>
      <c r="M867" s="86">
        <v>0.17</v>
      </c>
      <c r="N867" s="84"/>
      <c r="O867" s="85" t="s">
        <v>19</v>
      </c>
      <c r="P867" s="81">
        <f t="shared" ref="P867:P875" si="315">(C867+(E867*F867*H867))-N867</f>
        <v>0</v>
      </c>
      <c r="Q867" s="85" t="s">
        <v>19</v>
      </c>
      <c r="R867" s="16">
        <f t="shared" ref="R867:R875" si="316">P867*(J867-(J867*L867)-((J867-(J867*L867))*M867))</f>
        <v>0</v>
      </c>
      <c r="S867" s="16">
        <f t="shared" si="274"/>
        <v>0</v>
      </c>
    </row>
    <row r="868" spans="1:19" s="19" customFormat="1">
      <c r="A868" s="18" t="s">
        <v>505</v>
      </c>
      <c r="B868" s="19" t="s">
        <v>25</v>
      </c>
      <c r="C868" s="20"/>
      <c r="D868" s="21" t="s">
        <v>40</v>
      </c>
      <c r="E868" s="26">
        <v>9</v>
      </c>
      <c r="F868" s="22">
        <v>1</v>
      </c>
      <c r="G868" s="23" t="s">
        <v>20</v>
      </c>
      <c r="H868" s="22">
        <v>10</v>
      </c>
      <c r="I868" s="23" t="s">
        <v>40</v>
      </c>
      <c r="J868" s="24">
        <f>1560000/10</f>
        <v>156000</v>
      </c>
      <c r="K868" s="21" t="s">
        <v>40</v>
      </c>
      <c r="L868" s="25"/>
      <c r="M868" s="25">
        <v>0.17</v>
      </c>
      <c r="N868" s="22"/>
      <c r="O868" s="23" t="s">
        <v>40</v>
      </c>
      <c r="P868" s="20">
        <f t="shared" si="315"/>
        <v>90</v>
      </c>
      <c r="Q868" s="23" t="s">
        <v>40</v>
      </c>
      <c r="R868" s="24">
        <f t="shared" si="316"/>
        <v>11653200</v>
      </c>
      <c r="S868" s="24">
        <f t="shared" si="274"/>
        <v>10498378.378378378</v>
      </c>
    </row>
    <row r="869" spans="1:19" s="89" customFormat="1">
      <c r="A869" s="88" t="s">
        <v>506</v>
      </c>
      <c r="B869" s="89" t="s">
        <v>25</v>
      </c>
      <c r="C869" s="87"/>
      <c r="D869" s="90" t="s">
        <v>19</v>
      </c>
      <c r="E869" s="91"/>
      <c r="F869" s="92">
        <v>10</v>
      </c>
      <c r="G869" s="93" t="s">
        <v>40</v>
      </c>
      <c r="H869" s="92">
        <v>12</v>
      </c>
      <c r="I869" s="93" t="s">
        <v>19</v>
      </c>
      <c r="J869" s="94">
        <f>13000</f>
        <v>13000</v>
      </c>
      <c r="K869" s="90" t="s">
        <v>19</v>
      </c>
      <c r="L869" s="95"/>
      <c r="M869" s="95">
        <v>0.17</v>
      </c>
      <c r="N869" s="92"/>
      <c r="O869" s="93" t="s">
        <v>19</v>
      </c>
      <c r="P869" s="87">
        <f t="shared" si="315"/>
        <v>0</v>
      </c>
      <c r="Q869" s="93" t="s">
        <v>19</v>
      </c>
      <c r="R869" s="94">
        <f t="shared" si="316"/>
        <v>0</v>
      </c>
      <c r="S869" s="16">
        <f t="shared" si="274"/>
        <v>0</v>
      </c>
    </row>
    <row r="870" spans="1:19" s="19" customFormat="1">
      <c r="A870" s="18" t="s">
        <v>507</v>
      </c>
      <c r="B870" s="19" t="s">
        <v>25</v>
      </c>
      <c r="C870" s="20">
        <v>20</v>
      </c>
      <c r="D870" s="21" t="s">
        <v>40</v>
      </c>
      <c r="E870" s="26">
        <v>4</v>
      </c>
      <c r="F870" s="22">
        <v>4</v>
      </c>
      <c r="G870" s="23" t="s">
        <v>33</v>
      </c>
      <c r="H870" s="22">
        <v>2</v>
      </c>
      <c r="I870" s="23" t="s">
        <v>40</v>
      </c>
      <c r="J870" s="24">
        <f>1440000/4/2</f>
        <v>180000</v>
      </c>
      <c r="K870" s="21" t="s">
        <v>40</v>
      </c>
      <c r="L870" s="25"/>
      <c r="M870" s="25">
        <v>0.17</v>
      </c>
      <c r="N870" s="22"/>
      <c r="O870" s="23" t="s">
        <v>40</v>
      </c>
      <c r="P870" s="20">
        <f t="shared" si="315"/>
        <v>52</v>
      </c>
      <c r="Q870" s="23" t="s">
        <v>40</v>
      </c>
      <c r="R870" s="24">
        <f t="shared" si="316"/>
        <v>7768800</v>
      </c>
      <c r="S870" s="24">
        <f t="shared" si="274"/>
        <v>6998918.9189189179</v>
      </c>
    </row>
    <row r="871" spans="1:19" s="19" customFormat="1">
      <c r="A871" s="18" t="s">
        <v>508</v>
      </c>
      <c r="B871" s="19" t="s">
        <v>25</v>
      </c>
      <c r="C871" s="20">
        <v>3</v>
      </c>
      <c r="D871" s="21" t="s">
        <v>40</v>
      </c>
      <c r="E871" s="26">
        <v>3</v>
      </c>
      <c r="F871" s="22">
        <v>1</v>
      </c>
      <c r="G871" s="23" t="s">
        <v>20</v>
      </c>
      <c r="H871" s="22">
        <v>5</v>
      </c>
      <c r="I871" s="23" t="s">
        <v>40</v>
      </c>
      <c r="J871" s="24">
        <f>1410000/5</f>
        <v>282000</v>
      </c>
      <c r="K871" s="21" t="s">
        <v>19</v>
      </c>
      <c r="L871" s="25"/>
      <c r="M871" s="25">
        <v>0.17</v>
      </c>
      <c r="N871" s="22"/>
      <c r="O871" s="23" t="s">
        <v>40</v>
      </c>
      <c r="P871" s="20">
        <f t="shared" si="315"/>
        <v>18</v>
      </c>
      <c r="Q871" s="23" t="s">
        <v>40</v>
      </c>
      <c r="R871" s="24">
        <f t="shared" si="316"/>
        <v>4213080</v>
      </c>
      <c r="S871" s="24">
        <f t="shared" si="274"/>
        <v>3795567.5675675673</v>
      </c>
    </row>
    <row r="872" spans="1:19" s="19" customFormat="1">
      <c r="A872" s="18" t="s">
        <v>509</v>
      </c>
      <c r="B872" s="19" t="s">
        <v>25</v>
      </c>
      <c r="C872" s="20">
        <f>8+4</f>
        <v>12</v>
      </c>
      <c r="D872" s="21" t="s">
        <v>40</v>
      </c>
      <c r="E872" s="26"/>
      <c r="F872" s="22">
        <v>1</v>
      </c>
      <c r="G872" s="23" t="s">
        <v>20</v>
      </c>
      <c r="H872" s="22">
        <v>4</v>
      </c>
      <c r="I872" s="23" t="s">
        <v>40</v>
      </c>
      <c r="J872" s="24">
        <f>1410000/4</f>
        <v>352500</v>
      </c>
      <c r="K872" s="21" t="s">
        <v>40</v>
      </c>
      <c r="L872" s="25"/>
      <c r="M872" s="25">
        <v>0.17</v>
      </c>
      <c r="N872" s="22"/>
      <c r="O872" s="23" t="s">
        <v>40</v>
      </c>
      <c r="P872" s="20">
        <f t="shared" si="315"/>
        <v>12</v>
      </c>
      <c r="Q872" s="23" t="s">
        <v>40</v>
      </c>
      <c r="R872" s="24">
        <f t="shared" si="316"/>
        <v>3510900</v>
      </c>
      <c r="S872" s="24">
        <f t="shared" si="274"/>
        <v>3162972.9729729728</v>
      </c>
    </row>
    <row r="873" spans="1:19" s="80" customFormat="1">
      <c r="A873" s="79" t="s">
        <v>510</v>
      </c>
      <c r="B873" s="80" t="s">
        <v>25</v>
      </c>
      <c r="C873" s="81"/>
      <c r="D873" s="82" t="s">
        <v>19</v>
      </c>
      <c r="E873" s="83"/>
      <c r="F873" s="84">
        <v>1</v>
      </c>
      <c r="G873" s="85" t="s">
        <v>20</v>
      </c>
      <c r="H873" s="84">
        <v>24</v>
      </c>
      <c r="I873" s="85" t="s">
        <v>19</v>
      </c>
      <c r="J873" s="16">
        <f>1164000/24</f>
        <v>48500</v>
      </c>
      <c r="K873" s="82" t="s">
        <v>19</v>
      </c>
      <c r="L873" s="86"/>
      <c r="M873" s="86">
        <v>0.17</v>
      </c>
      <c r="N873" s="84"/>
      <c r="O873" s="85" t="s">
        <v>19</v>
      </c>
      <c r="P873" s="81">
        <f t="shared" si="315"/>
        <v>0</v>
      </c>
      <c r="Q873" s="85" t="s">
        <v>19</v>
      </c>
      <c r="R873" s="16">
        <f t="shared" si="316"/>
        <v>0</v>
      </c>
      <c r="S873" s="16">
        <f t="shared" si="274"/>
        <v>0</v>
      </c>
    </row>
    <row r="874" spans="1:19">
      <c r="A874" s="17" t="s">
        <v>511</v>
      </c>
      <c r="B874" s="2" t="s">
        <v>25</v>
      </c>
      <c r="C874" s="3">
        <v>66</v>
      </c>
      <c r="D874" s="4" t="s">
        <v>19</v>
      </c>
      <c r="E874" s="5">
        <v>3</v>
      </c>
      <c r="F874" s="6">
        <v>1</v>
      </c>
      <c r="G874" s="7" t="s">
        <v>20</v>
      </c>
      <c r="H874" s="6">
        <v>24</v>
      </c>
      <c r="I874" s="7" t="s">
        <v>19</v>
      </c>
      <c r="J874" s="8">
        <f>1020000/24</f>
        <v>42500</v>
      </c>
      <c r="K874" s="4" t="s">
        <v>19</v>
      </c>
      <c r="M874" s="9">
        <v>0.17</v>
      </c>
      <c r="O874" s="7" t="s">
        <v>19</v>
      </c>
      <c r="P874" s="3">
        <f t="shared" si="315"/>
        <v>138</v>
      </c>
      <c r="Q874" s="7" t="s">
        <v>19</v>
      </c>
      <c r="R874" s="8">
        <f t="shared" si="316"/>
        <v>4867950</v>
      </c>
      <c r="S874" s="8">
        <f t="shared" si="274"/>
        <v>4385540.5405405406</v>
      </c>
    </row>
    <row r="875" spans="1:19">
      <c r="A875" s="17" t="s">
        <v>512</v>
      </c>
      <c r="B875" s="2" t="s">
        <v>25</v>
      </c>
      <c r="C875" s="3">
        <v>72</v>
      </c>
      <c r="D875" s="4" t="s">
        <v>19</v>
      </c>
      <c r="E875" s="5">
        <v>3</v>
      </c>
      <c r="F875" s="6">
        <v>1</v>
      </c>
      <c r="G875" s="7" t="s">
        <v>20</v>
      </c>
      <c r="H875" s="6">
        <v>24</v>
      </c>
      <c r="I875" s="7" t="s">
        <v>19</v>
      </c>
      <c r="J875" s="8">
        <f>1416000/24</f>
        <v>59000</v>
      </c>
      <c r="K875" s="4" t="s">
        <v>19</v>
      </c>
      <c r="M875" s="9">
        <v>0.17</v>
      </c>
      <c r="O875" s="7" t="s">
        <v>19</v>
      </c>
      <c r="P875" s="3">
        <f t="shared" si="315"/>
        <v>144</v>
      </c>
      <c r="Q875" s="7" t="s">
        <v>19</v>
      </c>
      <c r="R875" s="8">
        <f t="shared" si="316"/>
        <v>7051680</v>
      </c>
      <c r="S875" s="8">
        <f t="shared" si="274"/>
        <v>6352864.8648648644</v>
      </c>
    </row>
    <row r="878" spans="1:19" ht="15.75">
      <c r="A878" s="14" t="s">
        <v>524</v>
      </c>
    </row>
    <row r="879" spans="1:19" s="19" customFormat="1">
      <c r="A879" s="18" t="s">
        <v>525</v>
      </c>
      <c r="B879" s="19" t="s">
        <v>18</v>
      </c>
      <c r="C879" s="20">
        <v>9140</v>
      </c>
      <c r="D879" s="21" t="s">
        <v>19</v>
      </c>
      <c r="E879" s="26">
        <v>3</v>
      </c>
      <c r="F879" s="22">
        <v>72</v>
      </c>
      <c r="G879" s="23" t="s">
        <v>33</v>
      </c>
      <c r="H879" s="22">
        <v>10</v>
      </c>
      <c r="I879" s="23" t="s">
        <v>19</v>
      </c>
      <c r="J879" s="24">
        <v>3700</v>
      </c>
      <c r="K879" s="21" t="s">
        <v>19</v>
      </c>
      <c r="L879" s="25">
        <v>0.125</v>
      </c>
      <c r="M879" s="25">
        <v>0.05</v>
      </c>
      <c r="N879" s="22"/>
      <c r="O879" s="23" t="s">
        <v>19</v>
      </c>
      <c r="P879" s="20">
        <f>(C879+(E879*F879*H879))-N879</f>
        <v>11300</v>
      </c>
      <c r="Q879" s="23" t="s">
        <v>19</v>
      </c>
      <c r="R879" s="24">
        <f>P879*(J879-(J879*L879)-((J879-(J879*L879))*M879))</f>
        <v>34754562.5</v>
      </c>
      <c r="S879" s="24">
        <f t="shared" ref="S879:S959" si="317">R879/1.11</f>
        <v>31310416.666666664</v>
      </c>
    </row>
    <row r="880" spans="1:19" s="89" customFormat="1">
      <c r="A880" s="88" t="s">
        <v>526</v>
      </c>
      <c r="B880" s="89" t="s">
        <v>18</v>
      </c>
      <c r="C880" s="87"/>
      <c r="D880" s="90" t="s">
        <v>152</v>
      </c>
      <c r="E880" s="91"/>
      <c r="F880" s="92">
        <v>12</v>
      </c>
      <c r="G880" s="93" t="s">
        <v>33</v>
      </c>
      <c r="H880" s="92">
        <v>24</v>
      </c>
      <c r="I880" s="93" t="s">
        <v>152</v>
      </c>
      <c r="J880" s="94">
        <v>16500</v>
      </c>
      <c r="K880" s="90" t="s">
        <v>152</v>
      </c>
      <c r="L880" s="95">
        <v>0.125</v>
      </c>
      <c r="M880" s="95">
        <v>0.05</v>
      </c>
      <c r="N880" s="92"/>
      <c r="O880" s="93" t="s">
        <v>152</v>
      </c>
      <c r="P880" s="87">
        <f>(C880+(E880*F880*H880))-N880</f>
        <v>0</v>
      </c>
      <c r="Q880" s="93" t="s">
        <v>152</v>
      </c>
      <c r="R880" s="94">
        <f>P880*(J880-(J880*L880)-((J880-(J880*L880))*M880))</f>
        <v>0</v>
      </c>
      <c r="S880" s="16">
        <f t="shared" si="317"/>
        <v>0</v>
      </c>
    </row>
    <row r="881" spans="1:19" s="19" customFormat="1">
      <c r="A881" s="18"/>
      <c r="C881" s="20"/>
      <c r="D881" s="21"/>
      <c r="E881" s="26"/>
      <c r="F881" s="22"/>
      <c r="G881" s="23"/>
      <c r="H881" s="22"/>
      <c r="I881" s="23"/>
      <c r="J881" s="24"/>
      <c r="K881" s="21"/>
      <c r="L881" s="25"/>
      <c r="M881" s="25"/>
      <c r="N881" s="22"/>
      <c r="O881" s="23"/>
      <c r="P881" s="20"/>
      <c r="Q881" s="23"/>
      <c r="R881" s="24"/>
      <c r="S881" s="8"/>
    </row>
    <row r="882" spans="1:19">
      <c r="A882" s="17" t="s">
        <v>527</v>
      </c>
      <c r="B882" s="2" t="s">
        <v>25</v>
      </c>
      <c r="C882" s="3">
        <v>210</v>
      </c>
      <c r="D882" s="4" t="s">
        <v>19</v>
      </c>
      <c r="E882" s="5">
        <v>3</v>
      </c>
      <c r="F882" s="6">
        <v>48</v>
      </c>
      <c r="G882" s="7" t="s">
        <v>33</v>
      </c>
      <c r="H882" s="6">
        <v>10</v>
      </c>
      <c r="I882" s="7" t="s">
        <v>19</v>
      </c>
      <c r="J882" s="8">
        <f>30500/10</f>
        <v>3050</v>
      </c>
      <c r="K882" s="4" t="s">
        <v>19</v>
      </c>
      <c r="M882" s="9">
        <v>0.17</v>
      </c>
      <c r="O882" s="7" t="s">
        <v>19</v>
      </c>
      <c r="P882" s="3">
        <f>(C882+(E882*F882*H882))-N882</f>
        <v>1650</v>
      </c>
      <c r="Q882" s="7" t="s">
        <v>19</v>
      </c>
      <c r="R882" s="8">
        <f>P882*(J882-(J882*L882)-((J882-(J882*L882))*M882))</f>
        <v>4176975</v>
      </c>
      <c r="S882" s="8">
        <f t="shared" si="317"/>
        <v>3763040.5405405401</v>
      </c>
    </row>
    <row r="883" spans="1:19">
      <c r="A883" s="17" t="s">
        <v>528</v>
      </c>
      <c r="B883" s="2" t="s">
        <v>25</v>
      </c>
      <c r="D883" s="4" t="s">
        <v>19</v>
      </c>
      <c r="F883" s="6">
        <v>48</v>
      </c>
      <c r="G883" s="7" t="s">
        <v>33</v>
      </c>
      <c r="H883" s="6">
        <v>10</v>
      </c>
      <c r="I883" s="7" t="s">
        <v>19</v>
      </c>
      <c r="J883" s="8">
        <f>30500/10</f>
        <v>3050</v>
      </c>
      <c r="K883" s="4" t="s">
        <v>19</v>
      </c>
      <c r="M883" s="9">
        <v>0.17</v>
      </c>
      <c r="O883" s="7" t="s">
        <v>19</v>
      </c>
      <c r="P883" s="3">
        <f>(C883+(E883*F883*H883))-N883</f>
        <v>0</v>
      </c>
      <c r="Q883" s="7" t="s">
        <v>19</v>
      </c>
      <c r="R883" s="8">
        <f>P883*(J883-(J883*L883)-((J883-(J883*L883))*M883))</f>
        <v>0</v>
      </c>
      <c r="S883" s="8">
        <f t="shared" si="317"/>
        <v>0</v>
      </c>
    </row>
    <row r="884" spans="1:19">
      <c r="A884" s="17" t="s">
        <v>529</v>
      </c>
      <c r="B884" s="2" t="s">
        <v>25</v>
      </c>
      <c r="D884" s="4" t="s">
        <v>40</v>
      </c>
      <c r="F884" s="6">
        <v>12</v>
      </c>
      <c r="G884" s="7" t="s">
        <v>33</v>
      </c>
      <c r="H884" s="6">
        <v>12</v>
      </c>
      <c r="I884" s="7" t="s">
        <v>40</v>
      </c>
      <c r="J884" s="8">
        <v>25800</v>
      </c>
      <c r="K884" s="4" t="s">
        <v>40</v>
      </c>
      <c r="M884" s="9">
        <v>0.17</v>
      </c>
      <c r="O884" s="7" t="s">
        <v>40</v>
      </c>
      <c r="P884" s="3">
        <f>(C884+(E884*F884*H884))-N884</f>
        <v>0</v>
      </c>
      <c r="Q884" s="7" t="s">
        <v>40</v>
      </c>
      <c r="R884" s="8">
        <f>P884*(J884-(J884*L884)-((J884-(J884*L884))*M884))</f>
        <v>0</v>
      </c>
      <c r="S884" s="8">
        <f t="shared" si="317"/>
        <v>0</v>
      </c>
    </row>
    <row r="886" spans="1:19" s="19" customFormat="1">
      <c r="A886" s="18" t="s">
        <v>530</v>
      </c>
      <c r="B886" s="19" t="s">
        <v>261</v>
      </c>
      <c r="C886" s="20"/>
      <c r="D886" s="21" t="s">
        <v>99</v>
      </c>
      <c r="E886" s="26">
        <v>2</v>
      </c>
      <c r="F886" s="22">
        <v>1</v>
      </c>
      <c r="G886" s="23" t="s">
        <v>20</v>
      </c>
      <c r="H886" s="22">
        <v>24</v>
      </c>
      <c r="I886" s="23" t="s">
        <v>99</v>
      </c>
      <c r="J886" s="24">
        <v>106000</v>
      </c>
      <c r="K886" s="21" t="s">
        <v>99</v>
      </c>
      <c r="L886" s="25"/>
      <c r="M886" s="25"/>
      <c r="N886" s="22"/>
      <c r="O886" s="23" t="s">
        <v>99</v>
      </c>
      <c r="P886" s="20">
        <f>(C886+(E886*F886*H886))-N886</f>
        <v>48</v>
      </c>
      <c r="Q886" s="23" t="s">
        <v>99</v>
      </c>
      <c r="R886" s="24">
        <f>P886*(J886-(J886*L886)-((J886-(J886*L886))*M886))</f>
        <v>5088000</v>
      </c>
      <c r="S886" s="24">
        <f t="shared" ref="S886" si="318">R886/1.11</f>
        <v>4583783.7837837832</v>
      </c>
    </row>
    <row r="887" spans="1:19" s="19" customFormat="1">
      <c r="A887" s="18" t="s">
        <v>882</v>
      </c>
      <c r="B887" s="19" t="s">
        <v>261</v>
      </c>
      <c r="C887" s="20"/>
      <c r="D887" s="21" t="s">
        <v>99</v>
      </c>
      <c r="E887" s="26">
        <v>2</v>
      </c>
      <c r="F887" s="22">
        <v>1</v>
      </c>
      <c r="G887" s="23" t="s">
        <v>20</v>
      </c>
      <c r="H887" s="22">
        <v>32</v>
      </c>
      <c r="I887" s="23" t="s">
        <v>99</v>
      </c>
      <c r="J887" s="24">
        <v>49500</v>
      </c>
      <c r="K887" s="21" t="s">
        <v>99</v>
      </c>
      <c r="L887" s="25"/>
      <c r="M887" s="25"/>
      <c r="N887" s="22"/>
      <c r="O887" s="23" t="s">
        <v>99</v>
      </c>
      <c r="P887" s="20">
        <f>(C887+(E887*F887*H887))-N887</f>
        <v>64</v>
      </c>
      <c r="Q887" s="23" t="s">
        <v>99</v>
      </c>
      <c r="R887" s="24">
        <f>P887*(J887-(J887*L887)-((J887-(J887*L887))*M887))</f>
        <v>3168000</v>
      </c>
      <c r="S887" s="24">
        <f t="shared" ref="S887" si="319">R887/1.11</f>
        <v>2854054.054054054</v>
      </c>
    </row>
    <row r="888" spans="1:19" s="19" customFormat="1">
      <c r="A888" s="18"/>
      <c r="C888" s="20"/>
      <c r="D888" s="21"/>
      <c r="E888" s="26"/>
      <c r="F888" s="22"/>
      <c r="G888" s="23"/>
      <c r="H888" s="22"/>
      <c r="I888" s="23"/>
      <c r="J888" s="24"/>
      <c r="K888" s="21"/>
      <c r="L888" s="25"/>
      <c r="M888" s="25"/>
      <c r="N888" s="22"/>
      <c r="O888" s="23"/>
      <c r="P888" s="20"/>
      <c r="Q888" s="23"/>
      <c r="R888" s="24"/>
      <c r="S888" s="8"/>
    </row>
    <row r="889" spans="1:19">
      <c r="A889" s="17" t="s">
        <v>531</v>
      </c>
      <c r="B889" s="2" t="s">
        <v>172</v>
      </c>
      <c r="C889" s="3">
        <v>375</v>
      </c>
      <c r="D889" s="4" t="s">
        <v>40</v>
      </c>
      <c r="F889" s="6">
        <v>1</v>
      </c>
      <c r="G889" s="7" t="s">
        <v>20</v>
      </c>
      <c r="H889" s="6">
        <v>108</v>
      </c>
      <c r="I889" s="7" t="s">
        <v>40</v>
      </c>
      <c r="J889" s="8">
        <v>18000</v>
      </c>
      <c r="K889" s="4" t="s">
        <v>40</v>
      </c>
      <c r="L889" s="9">
        <v>0.05</v>
      </c>
      <c r="O889" s="7" t="s">
        <v>40</v>
      </c>
      <c r="P889" s="3">
        <f>(C889+(E889*F889*H889))-N889</f>
        <v>375</v>
      </c>
      <c r="Q889" s="7" t="s">
        <v>40</v>
      </c>
      <c r="R889" s="8">
        <f>P889*(J889-(J889*L889)-((J889-(J889*L889))*M889))</f>
        <v>6412500</v>
      </c>
      <c r="S889" s="8">
        <f t="shared" si="317"/>
        <v>5777027.0270270268</v>
      </c>
    </row>
    <row r="890" spans="1:19" s="19" customFormat="1">
      <c r="A890" s="18" t="s">
        <v>837</v>
      </c>
      <c r="B890" s="19" t="s">
        <v>172</v>
      </c>
      <c r="C890" s="20"/>
      <c r="D890" s="21" t="s">
        <v>40</v>
      </c>
      <c r="E890" s="26">
        <v>15</v>
      </c>
      <c r="F890" s="22">
        <v>1</v>
      </c>
      <c r="G890" s="23" t="s">
        <v>20</v>
      </c>
      <c r="H890" s="22">
        <v>100</v>
      </c>
      <c r="I890" s="23" t="s">
        <v>40</v>
      </c>
      <c r="J890" s="24">
        <v>19000</v>
      </c>
      <c r="K890" s="21" t="s">
        <v>40</v>
      </c>
      <c r="L890" s="25">
        <v>0.05</v>
      </c>
      <c r="M890" s="25"/>
      <c r="N890" s="22"/>
      <c r="O890" s="23" t="s">
        <v>40</v>
      </c>
      <c r="P890" s="20">
        <f>(C890+(E890*F890*H890))-N890</f>
        <v>1500</v>
      </c>
      <c r="Q890" s="23" t="s">
        <v>40</v>
      </c>
      <c r="R890" s="24">
        <f>P890*(J890-(J890*L890)-((J890-(J890*L890))*M890))</f>
        <v>27075000</v>
      </c>
      <c r="S890" s="24">
        <f t="shared" ref="S890" si="320">R890/1.11</f>
        <v>24391891.891891889</v>
      </c>
    </row>
    <row r="892" spans="1:19">
      <c r="A892" s="31" t="s">
        <v>664</v>
      </c>
      <c r="B892" s="32" t="s">
        <v>598</v>
      </c>
      <c r="C892" s="33"/>
      <c r="D892" s="34" t="s">
        <v>19</v>
      </c>
      <c r="E892" s="35">
        <v>3</v>
      </c>
      <c r="F892" s="36">
        <v>1</v>
      </c>
      <c r="G892" s="37" t="s">
        <v>20</v>
      </c>
      <c r="H892" s="36">
        <v>600</v>
      </c>
      <c r="I892" s="37" t="s">
        <v>19</v>
      </c>
      <c r="J892" s="38">
        <v>2700</v>
      </c>
      <c r="K892" s="34" t="s">
        <v>19</v>
      </c>
      <c r="L892" s="39">
        <v>0.3</v>
      </c>
      <c r="M892" s="39"/>
      <c r="N892" s="36"/>
      <c r="O892" s="37" t="s">
        <v>19</v>
      </c>
      <c r="P892" s="33">
        <f>(C892+(E892*F892*H892))-N892</f>
        <v>1800</v>
      </c>
      <c r="Q892" s="37" t="s">
        <v>19</v>
      </c>
      <c r="R892" s="38">
        <f>P892*(J892-(J892*L892)-((J892-(J892*L892))*M892))</f>
        <v>3402000</v>
      </c>
      <c r="S892" s="38">
        <f t="shared" ref="S892" si="321">R892/1.11</f>
        <v>3064864.8648648644</v>
      </c>
    </row>
    <row r="893" spans="1:19">
      <c r="A893" s="31" t="s">
        <v>664</v>
      </c>
      <c r="B893" s="32" t="s">
        <v>598</v>
      </c>
      <c r="C893" s="33">
        <v>3376</v>
      </c>
      <c r="D893" s="34" t="s">
        <v>19</v>
      </c>
      <c r="E893" s="35"/>
      <c r="F893" s="36">
        <v>1</v>
      </c>
      <c r="G893" s="37" t="s">
        <v>20</v>
      </c>
      <c r="H893" s="36">
        <v>600</v>
      </c>
      <c r="I893" s="37" t="s">
        <v>19</v>
      </c>
      <c r="J893" s="38">
        <v>2700</v>
      </c>
      <c r="K893" s="34" t="s">
        <v>19</v>
      </c>
      <c r="L893" s="39">
        <v>0.35</v>
      </c>
      <c r="M893" s="39"/>
      <c r="N893" s="36"/>
      <c r="O893" s="37" t="s">
        <v>19</v>
      </c>
      <c r="P893" s="33">
        <f>(C893+(E893*F893*H893))-N893</f>
        <v>3376</v>
      </c>
      <c r="Q893" s="37" t="s">
        <v>19</v>
      </c>
      <c r="R893" s="38">
        <f>P893*(J893-(J893*L893)-((J893-(J893*L893))*M893))</f>
        <v>5924880</v>
      </c>
      <c r="S893" s="38">
        <f t="shared" si="317"/>
        <v>5337729.7297297297</v>
      </c>
    </row>
    <row r="895" spans="1:19" ht="15.75">
      <c r="A895" s="14" t="s">
        <v>532</v>
      </c>
    </row>
    <row r="896" spans="1:19">
      <c r="A896" s="15" t="s">
        <v>533</v>
      </c>
    </row>
    <row r="897" spans="1:19" s="89" customFormat="1">
      <c r="A897" s="88" t="s">
        <v>534</v>
      </c>
      <c r="B897" s="89" t="s">
        <v>18</v>
      </c>
      <c r="C897" s="87"/>
      <c r="D897" s="90" t="s">
        <v>19</v>
      </c>
      <c r="E897" s="91"/>
      <c r="F897" s="92">
        <v>40</v>
      </c>
      <c r="G897" s="93" t="s">
        <v>99</v>
      </c>
      <c r="H897" s="92">
        <v>12</v>
      </c>
      <c r="I897" s="93" t="s">
        <v>19</v>
      </c>
      <c r="J897" s="94">
        <v>6700</v>
      </c>
      <c r="K897" s="90" t="s">
        <v>19</v>
      </c>
      <c r="L897" s="95">
        <v>0.125</v>
      </c>
      <c r="M897" s="95">
        <v>0.05</v>
      </c>
      <c r="N897" s="92"/>
      <c r="O897" s="93" t="s">
        <v>19</v>
      </c>
      <c r="P897" s="87">
        <f>(C897+(E897*F897*H897))-N897</f>
        <v>0</v>
      </c>
      <c r="Q897" s="93" t="s">
        <v>19</v>
      </c>
      <c r="R897" s="94">
        <f>P897*(J897-(J897*L897)-((J897-(J897*L897))*M897))</f>
        <v>0</v>
      </c>
      <c r="S897" s="16">
        <f t="shared" si="317"/>
        <v>0</v>
      </c>
    </row>
    <row r="898" spans="1:19" s="106" customFormat="1">
      <c r="A898" s="98" t="s">
        <v>881</v>
      </c>
      <c r="B898" s="106" t="s">
        <v>18</v>
      </c>
      <c r="C898" s="107"/>
      <c r="D898" s="108" t="s">
        <v>19</v>
      </c>
      <c r="E898" s="109">
        <v>1</v>
      </c>
      <c r="F898" s="110">
        <v>40</v>
      </c>
      <c r="G898" s="111" t="s">
        <v>99</v>
      </c>
      <c r="H898" s="110">
        <v>12</v>
      </c>
      <c r="I898" s="111" t="s">
        <v>19</v>
      </c>
      <c r="J898" s="112">
        <v>6600</v>
      </c>
      <c r="K898" s="108" t="s">
        <v>19</v>
      </c>
      <c r="L898" s="113">
        <v>0.125</v>
      </c>
      <c r="M898" s="113">
        <v>0.05</v>
      </c>
      <c r="N898" s="110"/>
      <c r="O898" s="111" t="s">
        <v>19</v>
      </c>
      <c r="P898" s="107">
        <f>(C898+(E898*F898*H898))-N898</f>
        <v>480</v>
      </c>
      <c r="Q898" s="111" t="s">
        <v>19</v>
      </c>
      <c r="R898" s="112">
        <f>P898*(J898-(J898*L898)-((J898-(J898*L898))*M898))</f>
        <v>2633400</v>
      </c>
      <c r="S898" s="112">
        <f t="shared" ref="S898" si="322">R898/1.11</f>
        <v>2372432.4324324322</v>
      </c>
    </row>
    <row r="899" spans="1:19" s="19" customFormat="1">
      <c r="A899" s="18" t="s">
        <v>535</v>
      </c>
      <c r="B899" s="19" t="s">
        <v>18</v>
      </c>
      <c r="C899" s="20"/>
      <c r="D899" s="21" t="s">
        <v>19</v>
      </c>
      <c r="E899" s="26">
        <v>2</v>
      </c>
      <c r="F899" s="22">
        <v>20</v>
      </c>
      <c r="G899" s="23" t="s">
        <v>99</v>
      </c>
      <c r="H899" s="22">
        <v>12</v>
      </c>
      <c r="I899" s="23" t="s">
        <v>19</v>
      </c>
      <c r="J899" s="24">
        <v>8600</v>
      </c>
      <c r="K899" s="21" t="s">
        <v>19</v>
      </c>
      <c r="L899" s="25">
        <v>0.125</v>
      </c>
      <c r="M899" s="25">
        <v>0.05</v>
      </c>
      <c r="N899" s="22"/>
      <c r="O899" s="23" t="s">
        <v>19</v>
      </c>
      <c r="P899" s="20">
        <f>(C899+(E899*F899*H899))-N899</f>
        <v>480</v>
      </c>
      <c r="Q899" s="23" t="s">
        <v>19</v>
      </c>
      <c r="R899" s="24">
        <f>P899*(J899-(J899*L899)-((J899-(J899*L899))*M899))</f>
        <v>3431400</v>
      </c>
      <c r="S899" s="24">
        <f t="shared" ref="S899" si="323">R899/1.11</f>
        <v>3091351.351351351</v>
      </c>
    </row>
    <row r="900" spans="1:19" s="19" customFormat="1">
      <c r="A900" s="18"/>
      <c r="C900" s="20"/>
      <c r="D900" s="21"/>
      <c r="E900" s="26"/>
      <c r="F900" s="22"/>
      <c r="G900" s="23"/>
      <c r="H900" s="22"/>
      <c r="I900" s="23"/>
      <c r="J900" s="24"/>
      <c r="K900" s="21"/>
      <c r="L900" s="25"/>
      <c r="M900" s="25"/>
      <c r="N900" s="22"/>
      <c r="O900" s="23"/>
      <c r="P900" s="20"/>
      <c r="Q900" s="23"/>
      <c r="R900" s="24"/>
      <c r="S900" s="8"/>
    </row>
    <row r="901" spans="1:19" s="96" customFormat="1">
      <c r="A901" s="162" t="s">
        <v>536</v>
      </c>
      <c r="B901" s="96" t="s">
        <v>25</v>
      </c>
      <c r="C901" s="99"/>
      <c r="D901" s="100" t="s">
        <v>40</v>
      </c>
      <c r="E901" s="101">
        <v>1</v>
      </c>
      <c r="F901" s="102">
        <v>1</v>
      </c>
      <c r="G901" s="103" t="s">
        <v>20</v>
      </c>
      <c r="H901" s="102">
        <v>40</v>
      </c>
      <c r="I901" s="103" t="s">
        <v>40</v>
      </c>
      <c r="J901" s="104">
        <f>3096000/40</f>
        <v>77400</v>
      </c>
      <c r="K901" s="100" t="s">
        <v>40</v>
      </c>
      <c r="L901" s="105"/>
      <c r="M901" s="105">
        <v>0.17</v>
      </c>
      <c r="N901" s="102"/>
      <c r="O901" s="103" t="s">
        <v>40</v>
      </c>
      <c r="P901" s="99">
        <f t="shared" ref="P901:P906" si="324">(C901+(E901*F901*H901))-N901</f>
        <v>40</v>
      </c>
      <c r="Q901" s="103" t="s">
        <v>40</v>
      </c>
      <c r="R901" s="104">
        <f t="shared" ref="R901:R906" si="325">P901*(J901-(J901*L901)-((J901-(J901*L901))*M901))</f>
        <v>2569680</v>
      </c>
      <c r="S901" s="104">
        <f t="shared" si="317"/>
        <v>2315027.0270270268</v>
      </c>
    </row>
    <row r="902" spans="1:19">
      <c r="A902" s="49" t="s">
        <v>537</v>
      </c>
      <c r="B902" s="2" t="s">
        <v>25</v>
      </c>
      <c r="C902" s="3">
        <v>33</v>
      </c>
      <c r="D902" s="4" t="s">
        <v>40</v>
      </c>
      <c r="E902" s="5">
        <v>2</v>
      </c>
      <c r="F902" s="6">
        <v>1</v>
      </c>
      <c r="G902" s="7" t="s">
        <v>20</v>
      </c>
      <c r="H902" s="6">
        <v>40</v>
      </c>
      <c r="I902" s="7" t="s">
        <v>40</v>
      </c>
      <c r="J902" s="8">
        <f>2976000/40</f>
        <v>74400</v>
      </c>
      <c r="K902" s="4" t="s">
        <v>40</v>
      </c>
      <c r="M902" s="9">
        <v>0.17</v>
      </c>
      <c r="O902" s="7" t="s">
        <v>40</v>
      </c>
      <c r="P902" s="3">
        <f t="shared" si="324"/>
        <v>113</v>
      </c>
      <c r="Q902" s="7" t="s">
        <v>40</v>
      </c>
      <c r="R902" s="8">
        <f t="shared" si="325"/>
        <v>6977976</v>
      </c>
      <c r="S902" s="8">
        <f t="shared" si="317"/>
        <v>6286464.8648648644</v>
      </c>
    </row>
    <row r="903" spans="1:19" s="80" customFormat="1">
      <c r="A903" s="145" t="s">
        <v>538</v>
      </c>
      <c r="B903" s="80" t="s">
        <v>25</v>
      </c>
      <c r="C903" s="81"/>
      <c r="D903" s="82" t="s">
        <v>19</v>
      </c>
      <c r="E903" s="83"/>
      <c r="F903" s="84">
        <v>1</v>
      </c>
      <c r="G903" s="85" t="s">
        <v>20</v>
      </c>
      <c r="H903" s="84">
        <v>20</v>
      </c>
      <c r="I903" s="85" t="s">
        <v>19</v>
      </c>
      <c r="J903" s="16">
        <v>90000</v>
      </c>
      <c r="K903" s="82" t="s">
        <v>19</v>
      </c>
      <c r="L903" s="86"/>
      <c r="M903" s="86">
        <v>0.17</v>
      </c>
      <c r="N903" s="84"/>
      <c r="O903" s="85" t="s">
        <v>19</v>
      </c>
      <c r="P903" s="81">
        <f t="shared" si="324"/>
        <v>0</v>
      </c>
      <c r="Q903" s="85" t="s">
        <v>19</v>
      </c>
      <c r="R903" s="16">
        <f t="shared" si="325"/>
        <v>0</v>
      </c>
      <c r="S903" s="16">
        <f t="shared" si="317"/>
        <v>0</v>
      </c>
    </row>
    <row r="904" spans="1:19" s="80" customFormat="1">
      <c r="A904" s="145" t="s">
        <v>539</v>
      </c>
      <c r="B904" s="80" t="s">
        <v>25</v>
      </c>
      <c r="C904" s="81"/>
      <c r="D904" s="82" t="s">
        <v>19</v>
      </c>
      <c r="E904" s="83"/>
      <c r="F904" s="84">
        <v>1</v>
      </c>
      <c r="G904" s="85" t="s">
        <v>20</v>
      </c>
      <c r="H904" s="84">
        <v>20</v>
      </c>
      <c r="I904" s="85" t="s">
        <v>19</v>
      </c>
      <c r="J904" s="16">
        <v>87500</v>
      </c>
      <c r="K904" s="82" t="s">
        <v>19</v>
      </c>
      <c r="L904" s="86"/>
      <c r="M904" s="86">
        <v>0.17</v>
      </c>
      <c r="N904" s="84"/>
      <c r="O904" s="85" t="s">
        <v>19</v>
      </c>
      <c r="P904" s="81">
        <f t="shared" si="324"/>
        <v>0</v>
      </c>
      <c r="Q904" s="85" t="s">
        <v>19</v>
      </c>
      <c r="R904" s="16">
        <f t="shared" si="325"/>
        <v>0</v>
      </c>
      <c r="S904" s="16">
        <f t="shared" si="317"/>
        <v>0</v>
      </c>
    </row>
    <row r="905" spans="1:19">
      <c r="A905" s="49" t="s">
        <v>540</v>
      </c>
      <c r="B905" s="2" t="s">
        <v>25</v>
      </c>
      <c r="C905" s="3">
        <v>11</v>
      </c>
      <c r="D905" s="4" t="s">
        <v>40</v>
      </c>
      <c r="F905" s="6">
        <v>1</v>
      </c>
      <c r="G905" s="7" t="s">
        <v>20</v>
      </c>
      <c r="H905" s="6">
        <v>40</v>
      </c>
      <c r="I905" s="7" t="s">
        <v>40</v>
      </c>
      <c r="J905" s="8">
        <f>3360000/40</f>
        <v>84000</v>
      </c>
      <c r="K905" s="4" t="s">
        <v>40</v>
      </c>
      <c r="M905" s="9">
        <v>0.17</v>
      </c>
      <c r="O905" s="7" t="s">
        <v>40</v>
      </c>
      <c r="P905" s="3">
        <f t="shared" si="324"/>
        <v>11</v>
      </c>
      <c r="Q905" s="7" t="s">
        <v>40</v>
      </c>
      <c r="R905" s="8">
        <f t="shared" si="325"/>
        <v>766920</v>
      </c>
      <c r="S905" s="8">
        <f t="shared" si="317"/>
        <v>690918.91891891882</v>
      </c>
    </row>
    <row r="906" spans="1:19" s="96" customFormat="1">
      <c r="A906" s="162" t="s">
        <v>541</v>
      </c>
      <c r="B906" s="96" t="s">
        <v>25</v>
      </c>
      <c r="C906" s="99"/>
      <c r="D906" s="100" t="s">
        <v>40</v>
      </c>
      <c r="E906" s="101">
        <v>2</v>
      </c>
      <c r="F906" s="102">
        <v>1</v>
      </c>
      <c r="G906" s="103" t="s">
        <v>20</v>
      </c>
      <c r="H906" s="102">
        <v>20</v>
      </c>
      <c r="I906" s="103" t="s">
        <v>40</v>
      </c>
      <c r="J906" s="104">
        <f>1992000/20</f>
        <v>99600</v>
      </c>
      <c r="K906" s="100" t="s">
        <v>40</v>
      </c>
      <c r="L906" s="105"/>
      <c r="M906" s="105">
        <v>0.17</v>
      </c>
      <c r="N906" s="102"/>
      <c r="O906" s="103" t="s">
        <v>40</v>
      </c>
      <c r="P906" s="99">
        <f t="shared" si="324"/>
        <v>40</v>
      </c>
      <c r="Q906" s="103" t="s">
        <v>40</v>
      </c>
      <c r="R906" s="104">
        <f t="shared" si="325"/>
        <v>3306720</v>
      </c>
      <c r="S906" s="104">
        <f t="shared" si="317"/>
        <v>2979027.0270270268</v>
      </c>
    </row>
    <row r="907" spans="1:19">
      <c r="A907" s="49"/>
    </row>
    <row r="908" spans="1:19">
      <c r="A908" s="15" t="s">
        <v>542</v>
      </c>
    </row>
    <row r="909" spans="1:19" s="106" customFormat="1">
      <c r="A909" s="98" t="s">
        <v>543</v>
      </c>
      <c r="B909" s="106" t="s">
        <v>18</v>
      </c>
      <c r="C909" s="107"/>
      <c r="D909" s="108" t="s">
        <v>40</v>
      </c>
      <c r="E909" s="109">
        <v>2</v>
      </c>
      <c r="F909" s="110">
        <v>18</v>
      </c>
      <c r="G909" s="111" t="s">
        <v>99</v>
      </c>
      <c r="H909" s="110">
        <v>1</v>
      </c>
      <c r="I909" s="111" t="s">
        <v>40</v>
      </c>
      <c r="J909" s="112">
        <f>4900*12</f>
        <v>58800</v>
      </c>
      <c r="K909" s="108" t="s">
        <v>40</v>
      </c>
      <c r="L909" s="113">
        <v>0.125</v>
      </c>
      <c r="M909" s="113">
        <v>0.05</v>
      </c>
      <c r="N909" s="110"/>
      <c r="O909" s="111" t="s">
        <v>40</v>
      </c>
      <c r="P909" s="107">
        <f>(C909+(E909*F909*H909))-N909</f>
        <v>36</v>
      </c>
      <c r="Q909" s="111" t="s">
        <v>40</v>
      </c>
      <c r="R909" s="112">
        <f>P909*(J909-(J909*L909)-((J909-(J909*L909))*M909))</f>
        <v>1759590</v>
      </c>
      <c r="S909" s="104">
        <f t="shared" si="317"/>
        <v>1585216.2162162161</v>
      </c>
    </row>
    <row r="910" spans="1:19" s="89" customFormat="1">
      <c r="A910" s="88" t="s">
        <v>544</v>
      </c>
      <c r="B910" s="89" t="s">
        <v>18</v>
      </c>
      <c r="C910" s="87"/>
      <c r="D910" s="90" t="s">
        <v>40</v>
      </c>
      <c r="E910" s="91"/>
      <c r="F910" s="92">
        <v>24</v>
      </c>
      <c r="G910" s="93" t="s">
        <v>99</v>
      </c>
      <c r="H910" s="92">
        <v>2</v>
      </c>
      <c r="I910" s="93" t="s">
        <v>40</v>
      </c>
      <c r="J910" s="94">
        <f>4900*12</f>
        <v>58800</v>
      </c>
      <c r="K910" s="90" t="s">
        <v>40</v>
      </c>
      <c r="L910" s="95">
        <v>0.125</v>
      </c>
      <c r="M910" s="95">
        <v>0.05</v>
      </c>
      <c r="N910" s="92"/>
      <c r="O910" s="93" t="s">
        <v>40</v>
      </c>
      <c r="P910" s="87">
        <f>(C910+(E910*F910*H910))-N910</f>
        <v>0</v>
      </c>
      <c r="Q910" s="93" t="s">
        <v>40</v>
      </c>
      <c r="R910" s="94">
        <f>P910*(J910-(J910*L910)-((J910-(J910*L910))*M910))</f>
        <v>0</v>
      </c>
      <c r="S910" s="16">
        <f t="shared" si="317"/>
        <v>0</v>
      </c>
    </row>
    <row r="911" spans="1:19" s="19" customFormat="1">
      <c r="A911" s="18" t="s">
        <v>545</v>
      </c>
      <c r="B911" s="19" t="s">
        <v>18</v>
      </c>
      <c r="C911" s="20"/>
      <c r="D911" s="21" t="s">
        <v>40</v>
      </c>
      <c r="E911" s="26">
        <v>5</v>
      </c>
      <c r="F911" s="22">
        <v>18</v>
      </c>
      <c r="G911" s="23" t="s">
        <v>99</v>
      </c>
      <c r="H911" s="22">
        <v>1</v>
      </c>
      <c r="I911" s="23" t="s">
        <v>40</v>
      </c>
      <c r="J911" s="24">
        <v>69600</v>
      </c>
      <c r="K911" s="21" t="s">
        <v>40</v>
      </c>
      <c r="L911" s="25">
        <v>0.125</v>
      </c>
      <c r="M911" s="25">
        <v>0.05</v>
      </c>
      <c r="N911" s="22"/>
      <c r="O911" s="23" t="s">
        <v>40</v>
      </c>
      <c r="P911" s="107">
        <f>(C911+(E911*F911*H911))-N911</f>
        <v>90</v>
      </c>
      <c r="Q911" s="111" t="s">
        <v>40</v>
      </c>
      <c r="R911" s="24">
        <f>P911*(J911-(J911*L911)-((J911-(J911*L911))*M911))</f>
        <v>5206950</v>
      </c>
      <c r="S911" s="24">
        <f t="shared" ref="S911" si="326">R911/1.11</f>
        <v>4690945.9459459456</v>
      </c>
    </row>
    <row r="912" spans="1:19" s="89" customFormat="1">
      <c r="A912" s="88" t="s">
        <v>546</v>
      </c>
      <c r="B912" s="89" t="s">
        <v>18</v>
      </c>
      <c r="C912" s="87"/>
      <c r="D912" s="90" t="s">
        <v>40</v>
      </c>
      <c r="E912" s="91"/>
      <c r="F912" s="92">
        <v>24</v>
      </c>
      <c r="G912" s="93" t="s">
        <v>99</v>
      </c>
      <c r="H912" s="92">
        <v>6</v>
      </c>
      <c r="I912" s="93" t="s">
        <v>19</v>
      </c>
      <c r="J912" s="94">
        <v>12600</v>
      </c>
      <c r="K912" s="90" t="s">
        <v>19</v>
      </c>
      <c r="L912" s="95">
        <v>0.125</v>
      </c>
      <c r="M912" s="95">
        <v>0.05</v>
      </c>
      <c r="N912" s="92"/>
      <c r="O912" s="93" t="s">
        <v>19</v>
      </c>
      <c r="P912" s="87">
        <f>(C912+(E912*F912*H912))-N912</f>
        <v>0</v>
      </c>
      <c r="Q912" s="93" t="s">
        <v>19</v>
      </c>
      <c r="R912" s="94">
        <f>P912*(J912-(J912*L912)-((J912-(J912*L912))*M912))</f>
        <v>0</v>
      </c>
      <c r="S912" s="16">
        <f t="shared" si="317"/>
        <v>0</v>
      </c>
    </row>
    <row r="913" spans="1:19" s="19" customFormat="1">
      <c r="A913" s="18"/>
      <c r="C913" s="20"/>
      <c r="D913" s="21"/>
      <c r="E913" s="26"/>
      <c r="F913" s="22"/>
      <c r="G913" s="23"/>
      <c r="H913" s="22"/>
      <c r="I913" s="23"/>
      <c r="J913" s="24"/>
      <c r="K913" s="21"/>
      <c r="L913" s="25"/>
      <c r="M913" s="25"/>
      <c r="N913" s="22"/>
      <c r="O913" s="23"/>
      <c r="P913" s="20"/>
      <c r="Q913" s="23"/>
      <c r="R913" s="24"/>
      <c r="S913" s="8"/>
    </row>
    <row r="914" spans="1:19" s="19" customFormat="1">
      <c r="A914" s="18" t="s">
        <v>547</v>
      </c>
      <c r="B914" s="19" t="s">
        <v>25</v>
      </c>
      <c r="C914" s="20"/>
      <c r="D914" s="21" t="s">
        <v>40</v>
      </c>
      <c r="E914" s="26">
        <v>4</v>
      </c>
      <c r="F914" s="22">
        <v>1</v>
      </c>
      <c r="G914" s="23" t="s">
        <v>20</v>
      </c>
      <c r="H914" s="22">
        <v>18</v>
      </c>
      <c r="I914" s="23" t="s">
        <v>40</v>
      </c>
      <c r="J914" s="24">
        <f>1069200/18</f>
        <v>59400</v>
      </c>
      <c r="K914" s="21" t="s">
        <v>40</v>
      </c>
      <c r="L914" s="25"/>
      <c r="M914" s="25">
        <v>0.17</v>
      </c>
      <c r="N914" s="22"/>
      <c r="O914" s="23" t="s">
        <v>40</v>
      </c>
      <c r="P914" s="20">
        <f>(C914+(E914*F914*H914))-N914</f>
        <v>72</v>
      </c>
      <c r="Q914" s="23" t="s">
        <v>40</v>
      </c>
      <c r="R914" s="24">
        <f>P914*(J914-(J914*L914)-((J914-(J914*L914))*M914))</f>
        <v>3549744</v>
      </c>
      <c r="S914" s="24">
        <f t="shared" si="317"/>
        <v>3197967.5675675673</v>
      </c>
    </row>
    <row r="915" spans="1:19" s="80" customFormat="1">
      <c r="A915" s="79" t="s">
        <v>548</v>
      </c>
      <c r="B915" s="80" t="s">
        <v>25</v>
      </c>
      <c r="C915" s="81"/>
      <c r="D915" s="82" t="s">
        <v>40</v>
      </c>
      <c r="E915" s="83"/>
      <c r="F915" s="84">
        <v>1</v>
      </c>
      <c r="G915" s="85" t="s">
        <v>20</v>
      </c>
      <c r="H915" s="84">
        <v>18</v>
      </c>
      <c r="I915" s="85" t="s">
        <v>40</v>
      </c>
      <c r="J915" s="16">
        <f>1274400/18</f>
        <v>70800</v>
      </c>
      <c r="K915" s="82" t="s">
        <v>40</v>
      </c>
      <c r="L915" s="86"/>
      <c r="M915" s="86">
        <v>0.17</v>
      </c>
      <c r="N915" s="84"/>
      <c r="O915" s="85" t="s">
        <v>40</v>
      </c>
      <c r="P915" s="81">
        <f>(C915+(E915*F915*H915))-N915</f>
        <v>0</v>
      </c>
      <c r="Q915" s="85" t="s">
        <v>40</v>
      </c>
      <c r="R915" s="16">
        <f>P915*(J915-(J915*L915)-((J915-(J915*L915))*M915))</f>
        <v>0</v>
      </c>
      <c r="S915" s="16">
        <f t="shared" si="317"/>
        <v>0</v>
      </c>
    </row>
    <row r="917" spans="1:19" ht="15.75">
      <c r="A917" s="14" t="s">
        <v>549</v>
      </c>
    </row>
    <row r="918" spans="1:19">
      <c r="A918" s="15" t="s">
        <v>550</v>
      </c>
    </row>
    <row r="919" spans="1:19">
      <c r="A919" s="17" t="s">
        <v>704</v>
      </c>
      <c r="B919" s="19" t="s">
        <v>18</v>
      </c>
      <c r="D919" s="4" t="s">
        <v>19</v>
      </c>
      <c r="E919" s="5">
        <v>3</v>
      </c>
      <c r="F919" s="6">
        <v>1</v>
      </c>
      <c r="G919" s="7" t="s">
        <v>20</v>
      </c>
      <c r="H919" s="6">
        <v>72</v>
      </c>
      <c r="I919" s="7" t="s">
        <v>19</v>
      </c>
      <c r="J919" s="8">
        <v>34500</v>
      </c>
      <c r="K919" s="4" t="s">
        <v>19</v>
      </c>
      <c r="L919" s="9">
        <v>0.125</v>
      </c>
      <c r="M919" s="9">
        <v>0.05</v>
      </c>
      <c r="O919" s="7" t="s">
        <v>19</v>
      </c>
      <c r="P919" s="3">
        <f>(C919+(E919*F919*H919))-N919</f>
        <v>216</v>
      </c>
      <c r="Q919" s="7" t="s">
        <v>19</v>
      </c>
      <c r="R919" s="8">
        <f>P919*(J919-(J919*L919)-((J919-(J919*L919))*M919))</f>
        <v>6194475</v>
      </c>
      <c r="S919" s="8">
        <f t="shared" ref="S919" si="327">R919/1.11</f>
        <v>5580608.1081081079</v>
      </c>
    </row>
    <row r="920" spans="1:19" s="96" customFormat="1">
      <c r="A920" s="115" t="s">
        <v>551</v>
      </c>
      <c r="B920" s="106" t="s">
        <v>18</v>
      </c>
      <c r="C920" s="99"/>
      <c r="D920" s="100" t="s">
        <v>19</v>
      </c>
      <c r="E920" s="101">
        <v>1</v>
      </c>
      <c r="F920" s="102">
        <v>1</v>
      </c>
      <c r="G920" s="103" t="s">
        <v>20</v>
      </c>
      <c r="H920" s="102">
        <v>24</v>
      </c>
      <c r="I920" s="103" t="s">
        <v>19</v>
      </c>
      <c r="J920" s="104">
        <v>97000</v>
      </c>
      <c r="K920" s="100" t="s">
        <v>19</v>
      </c>
      <c r="L920" s="105">
        <v>0.125</v>
      </c>
      <c r="M920" s="105">
        <v>0.05</v>
      </c>
      <c r="N920" s="102"/>
      <c r="O920" s="103" t="s">
        <v>19</v>
      </c>
      <c r="P920" s="99">
        <f>(C920+(E920*F920*H920))-N920</f>
        <v>24</v>
      </c>
      <c r="Q920" s="103" t="s">
        <v>19</v>
      </c>
      <c r="R920" s="104">
        <f>P920*(J920-(J920*L920)-((J920-(J920*L920))*M920))</f>
        <v>1935150</v>
      </c>
      <c r="S920" s="104">
        <f t="shared" si="317"/>
        <v>1743378.3783783782</v>
      </c>
    </row>
    <row r="921" spans="1:19">
      <c r="B921" s="19"/>
    </row>
    <row r="922" spans="1:19" s="80" customFormat="1">
      <c r="A922" s="79" t="s">
        <v>552</v>
      </c>
      <c r="B922" s="80" t="s">
        <v>25</v>
      </c>
      <c r="C922" s="81"/>
      <c r="D922" s="82" t="s">
        <v>40</v>
      </c>
      <c r="E922" s="83"/>
      <c r="F922" s="84">
        <v>1</v>
      </c>
      <c r="G922" s="85" t="s">
        <v>20</v>
      </c>
      <c r="H922" s="84">
        <v>48</v>
      </c>
      <c r="I922" s="85" t="s">
        <v>19</v>
      </c>
      <c r="J922" s="16">
        <f>2400000/48</f>
        <v>50000</v>
      </c>
      <c r="K922" s="82" t="s">
        <v>19</v>
      </c>
      <c r="L922" s="86"/>
      <c r="M922" s="86">
        <v>0.17</v>
      </c>
      <c r="N922" s="84"/>
      <c r="O922" s="85" t="s">
        <v>19</v>
      </c>
      <c r="P922" s="81">
        <f>(C922+(E922*F922*H922))-N922</f>
        <v>0</v>
      </c>
      <c r="Q922" s="85" t="s">
        <v>19</v>
      </c>
      <c r="R922" s="16">
        <f>P922*(J922-(J922*L922)-((J922-(J922*L922))*M922))</f>
        <v>0</v>
      </c>
      <c r="S922" s="16">
        <f t="shared" si="317"/>
        <v>0</v>
      </c>
    </row>
    <row r="924" spans="1:19">
      <c r="A924" s="15" t="s">
        <v>553</v>
      </c>
    </row>
    <row r="925" spans="1:19" s="19" customFormat="1">
      <c r="A925" s="18" t="s">
        <v>554</v>
      </c>
      <c r="B925" s="19" t="s">
        <v>18</v>
      </c>
      <c r="C925" s="20"/>
      <c r="D925" s="21" t="s">
        <v>40</v>
      </c>
      <c r="E925" s="26">
        <v>29</v>
      </c>
      <c r="F925" s="22">
        <v>1</v>
      </c>
      <c r="G925" s="23" t="s">
        <v>20</v>
      </c>
      <c r="H925" s="22">
        <v>20</v>
      </c>
      <c r="I925" s="23" t="s">
        <v>40</v>
      </c>
      <c r="J925" s="24">
        <v>85200</v>
      </c>
      <c r="K925" s="21" t="s">
        <v>40</v>
      </c>
      <c r="L925" s="25">
        <v>0.125</v>
      </c>
      <c r="M925" s="25">
        <v>0.05</v>
      </c>
      <c r="N925" s="22"/>
      <c r="O925" s="23" t="s">
        <v>40</v>
      </c>
      <c r="P925" s="20">
        <f t="shared" ref="P925:P939" si="328">(C925+(E925*F925*H925))-N925</f>
        <v>580</v>
      </c>
      <c r="Q925" s="23" t="s">
        <v>40</v>
      </c>
      <c r="R925" s="24">
        <f t="shared" ref="R925:R939" si="329">P925*(J925-(J925*L925)-((J925-(J925*L925))*M925))</f>
        <v>41077050</v>
      </c>
      <c r="S925" s="24">
        <f t="shared" si="317"/>
        <v>37006351.351351351</v>
      </c>
    </row>
    <row r="926" spans="1:19" s="96" customFormat="1">
      <c r="A926" s="115" t="s">
        <v>555</v>
      </c>
      <c r="B926" s="96" t="s">
        <v>18</v>
      </c>
      <c r="C926" s="99"/>
      <c r="D926" s="100" t="s">
        <v>19</v>
      </c>
      <c r="E926" s="101">
        <v>1</v>
      </c>
      <c r="F926" s="102">
        <v>24</v>
      </c>
      <c r="G926" s="103" t="s">
        <v>33</v>
      </c>
      <c r="H926" s="102">
        <v>10</v>
      </c>
      <c r="I926" s="103" t="s">
        <v>19</v>
      </c>
      <c r="J926" s="104">
        <v>9750</v>
      </c>
      <c r="K926" s="100" t="s">
        <v>19</v>
      </c>
      <c r="L926" s="105">
        <v>0.125</v>
      </c>
      <c r="M926" s="105">
        <v>0.05</v>
      </c>
      <c r="N926" s="102"/>
      <c r="O926" s="103" t="s">
        <v>19</v>
      </c>
      <c r="P926" s="99">
        <f t="shared" si="328"/>
        <v>240</v>
      </c>
      <c r="Q926" s="103" t="s">
        <v>19</v>
      </c>
      <c r="R926" s="104">
        <f t="shared" si="329"/>
        <v>1945125</v>
      </c>
      <c r="S926" s="104">
        <f t="shared" si="317"/>
        <v>1752364.8648648646</v>
      </c>
    </row>
    <row r="927" spans="1:19">
      <c r="A927" s="17" t="s">
        <v>556</v>
      </c>
      <c r="B927" s="2" t="s">
        <v>18</v>
      </c>
      <c r="D927" s="4" t="s">
        <v>40</v>
      </c>
      <c r="E927" s="5">
        <v>3</v>
      </c>
      <c r="F927" s="6">
        <v>1</v>
      </c>
      <c r="G927" s="7" t="s">
        <v>20</v>
      </c>
      <c r="H927" s="6">
        <v>25</v>
      </c>
      <c r="I927" s="7" t="s">
        <v>40</v>
      </c>
      <c r="J927" s="8">
        <v>70800</v>
      </c>
      <c r="K927" s="4" t="s">
        <v>40</v>
      </c>
      <c r="L927" s="9">
        <v>0.125</v>
      </c>
      <c r="M927" s="9">
        <v>0.05</v>
      </c>
      <c r="O927" s="7" t="s">
        <v>40</v>
      </c>
      <c r="P927" s="3">
        <f t="shared" si="328"/>
        <v>75</v>
      </c>
      <c r="Q927" s="7" t="s">
        <v>40</v>
      </c>
      <c r="R927" s="8">
        <f t="shared" si="329"/>
        <v>4413937.5</v>
      </c>
      <c r="S927" s="8">
        <f t="shared" si="317"/>
        <v>3976520.2702702698</v>
      </c>
    </row>
    <row r="928" spans="1:19">
      <c r="A928" s="18" t="s">
        <v>843</v>
      </c>
      <c r="B928" s="2" t="s">
        <v>18</v>
      </c>
      <c r="D928" s="4" t="s">
        <v>40</v>
      </c>
      <c r="E928" s="5">
        <v>3</v>
      </c>
      <c r="F928" s="6">
        <v>1</v>
      </c>
      <c r="G928" s="7" t="s">
        <v>20</v>
      </c>
      <c r="H928" s="6">
        <v>25</v>
      </c>
      <c r="I928" s="7" t="s">
        <v>40</v>
      </c>
      <c r="J928" s="8">
        <v>66600</v>
      </c>
      <c r="K928" s="4" t="s">
        <v>40</v>
      </c>
      <c r="L928" s="9">
        <v>0.125</v>
      </c>
      <c r="M928" s="9">
        <v>0.05</v>
      </c>
      <c r="O928" s="7" t="s">
        <v>40</v>
      </c>
      <c r="P928" s="3">
        <f t="shared" ref="P928:P929" si="330">(C928+(E928*F928*H928))-N928</f>
        <v>75</v>
      </c>
      <c r="Q928" s="7" t="s">
        <v>40</v>
      </c>
      <c r="R928" s="8">
        <f t="shared" ref="R928:R929" si="331">P928*(J928-(J928*L928)-((J928-(J928*L928))*M928))</f>
        <v>4152093.75</v>
      </c>
      <c r="S928" s="8">
        <f t="shared" ref="S928:S929" si="332">R928/1.11</f>
        <v>3740624.9999999995</v>
      </c>
    </row>
    <row r="929" spans="1:19" s="19" customFormat="1">
      <c r="A929" s="18" t="s">
        <v>557</v>
      </c>
      <c r="B929" s="19" t="s">
        <v>18</v>
      </c>
      <c r="C929" s="20"/>
      <c r="D929" s="21" t="s">
        <v>40</v>
      </c>
      <c r="E929" s="26">
        <v>5</v>
      </c>
      <c r="F929" s="22">
        <v>20</v>
      </c>
      <c r="G929" s="23" t="s">
        <v>33</v>
      </c>
      <c r="H929" s="22">
        <v>1</v>
      </c>
      <c r="I929" s="23" t="s">
        <v>40</v>
      </c>
      <c r="J929" s="24">
        <v>84000</v>
      </c>
      <c r="K929" s="21" t="s">
        <v>40</v>
      </c>
      <c r="L929" s="25">
        <v>0.125</v>
      </c>
      <c r="M929" s="25">
        <v>0.05</v>
      </c>
      <c r="N929" s="22"/>
      <c r="O929" s="23" t="s">
        <v>40</v>
      </c>
      <c r="P929" s="20">
        <f t="shared" si="330"/>
        <v>100</v>
      </c>
      <c r="Q929" s="23" t="s">
        <v>40</v>
      </c>
      <c r="R929" s="24">
        <f t="shared" si="331"/>
        <v>6982500</v>
      </c>
      <c r="S929" s="24">
        <f t="shared" si="332"/>
        <v>6290540.5405405397</v>
      </c>
    </row>
    <row r="930" spans="1:19" s="19" customFormat="1">
      <c r="A930" s="18" t="s">
        <v>557</v>
      </c>
      <c r="B930" s="19" t="s">
        <v>18</v>
      </c>
      <c r="C930" s="20">
        <v>240</v>
      </c>
      <c r="D930" s="21" t="s">
        <v>40</v>
      </c>
      <c r="E930" s="26"/>
      <c r="F930" s="22">
        <v>20</v>
      </c>
      <c r="G930" s="23" t="s">
        <v>33</v>
      </c>
      <c r="H930" s="22">
        <v>1</v>
      </c>
      <c r="I930" s="23" t="s">
        <v>40</v>
      </c>
      <c r="J930" s="24">
        <f>6800*12</f>
        <v>81600</v>
      </c>
      <c r="K930" s="21" t="s">
        <v>40</v>
      </c>
      <c r="L930" s="25">
        <v>0.125</v>
      </c>
      <c r="M930" s="25">
        <v>0.05</v>
      </c>
      <c r="N930" s="22"/>
      <c r="O930" s="23" t="s">
        <v>40</v>
      </c>
      <c r="P930" s="20">
        <f t="shared" si="328"/>
        <v>240</v>
      </c>
      <c r="Q930" s="23" t="s">
        <v>40</v>
      </c>
      <c r="R930" s="24">
        <f t="shared" si="329"/>
        <v>16279200</v>
      </c>
      <c r="S930" s="24">
        <f t="shared" si="317"/>
        <v>14665945.945945945</v>
      </c>
    </row>
    <row r="931" spans="1:19" s="19" customFormat="1">
      <c r="A931" s="18" t="s">
        <v>558</v>
      </c>
      <c r="B931" s="19" t="s">
        <v>18</v>
      </c>
      <c r="C931" s="20">
        <v>450</v>
      </c>
      <c r="D931" s="21" t="s">
        <v>19</v>
      </c>
      <c r="E931" s="26">
        <v>2</v>
      </c>
      <c r="F931" s="22">
        <v>20</v>
      </c>
      <c r="G931" s="23" t="s">
        <v>33</v>
      </c>
      <c r="H931" s="22">
        <v>6</v>
      </c>
      <c r="I931" s="23" t="s">
        <v>19</v>
      </c>
      <c r="J931" s="24">
        <v>18700</v>
      </c>
      <c r="K931" s="21" t="s">
        <v>19</v>
      </c>
      <c r="L931" s="25">
        <v>0.125</v>
      </c>
      <c r="M931" s="25">
        <v>0.05</v>
      </c>
      <c r="N931" s="22"/>
      <c r="O931" s="23" t="s">
        <v>19</v>
      </c>
      <c r="P931" s="20">
        <f t="shared" si="328"/>
        <v>690</v>
      </c>
      <c r="Q931" s="23" t="s">
        <v>19</v>
      </c>
      <c r="R931" s="24">
        <f t="shared" si="329"/>
        <v>10725618.75</v>
      </c>
      <c r="S931" s="24">
        <f t="shared" si="317"/>
        <v>9662719.5945945941</v>
      </c>
    </row>
    <row r="932" spans="1:19" s="19" customFormat="1">
      <c r="A932" s="18" t="s">
        <v>559</v>
      </c>
      <c r="B932" s="19" t="s">
        <v>18</v>
      </c>
      <c r="C932" s="20">
        <v>1284</v>
      </c>
      <c r="D932" s="21" t="s">
        <v>19</v>
      </c>
      <c r="E932" s="26">
        <v>2</v>
      </c>
      <c r="F932" s="22">
        <v>20</v>
      </c>
      <c r="G932" s="23" t="s">
        <v>33</v>
      </c>
      <c r="H932" s="22">
        <v>6</v>
      </c>
      <c r="I932" s="23" t="s">
        <v>19</v>
      </c>
      <c r="J932" s="24">
        <v>18000</v>
      </c>
      <c r="K932" s="21" t="s">
        <v>19</v>
      </c>
      <c r="L932" s="25">
        <v>0.125</v>
      </c>
      <c r="M932" s="25">
        <v>0.05</v>
      </c>
      <c r="N932" s="22"/>
      <c r="O932" s="23" t="s">
        <v>19</v>
      </c>
      <c r="P932" s="20">
        <f t="shared" si="328"/>
        <v>1524</v>
      </c>
      <c r="Q932" s="23" t="s">
        <v>19</v>
      </c>
      <c r="R932" s="24">
        <f t="shared" si="329"/>
        <v>22802850</v>
      </c>
      <c r="S932" s="24">
        <f t="shared" si="317"/>
        <v>20543108.108108107</v>
      </c>
    </row>
    <row r="933" spans="1:19" s="80" customFormat="1">
      <c r="A933" s="79" t="s">
        <v>560</v>
      </c>
      <c r="B933" s="80" t="s">
        <v>18</v>
      </c>
      <c r="C933" s="81"/>
      <c r="D933" s="82" t="s">
        <v>19</v>
      </c>
      <c r="E933" s="83"/>
      <c r="F933" s="84">
        <v>1</v>
      </c>
      <c r="G933" s="85" t="s">
        <v>20</v>
      </c>
      <c r="H933" s="84">
        <v>12</v>
      </c>
      <c r="I933" s="85" t="s">
        <v>19</v>
      </c>
      <c r="J933" s="16">
        <v>162000</v>
      </c>
      <c r="K933" s="82" t="s">
        <v>19</v>
      </c>
      <c r="L933" s="86">
        <v>0.125</v>
      </c>
      <c r="M933" s="86">
        <v>0.05</v>
      </c>
      <c r="N933" s="84"/>
      <c r="O933" s="85" t="s">
        <v>19</v>
      </c>
      <c r="P933" s="81">
        <f t="shared" si="328"/>
        <v>0</v>
      </c>
      <c r="Q933" s="85" t="s">
        <v>19</v>
      </c>
      <c r="R933" s="16">
        <f t="shared" si="329"/>
        <v>0</v>
      </c>
      <c r="S933" s="16">
        <f t="shared" si="317"/>
        <v>0</v>
      </c>
    </row>
    <row r="934" spans="1:19" s="80" customFormat="1">
      <c r="A934" s="79" t="s">
        <v>756</v>
      </c>
      <c r="B934" s="80" t="s">
        <v>18</v>
      </c>
      <c r="C934" s="81"/>
      <c r="D934" s="82" t="s">
        <v>19</v>
      </c>
      <c r="E934" s="83"/>
      <c r="F934" s="84">
        <v>1</v>
      </c>
      <c r="G934" s="85" t="s">
        <v>20</v>
      </c>
      <c r="H934" s="84">
        <v>12</v>
      </c>
      <c r="I934" s="85" t="s">
        <v>19</v>
      </c>
      <c r="J934" s="16">
        <v>200000</v>
      </c>
      <c r="K934" s="82" t="s">
        <v>19</v>
      </c>
      <c r="L934" s="86">
        <v>0.125</v>
      </c>
      <c r="M934" s="86">
        <v>0.05</v>
      </c>
      <c r="N934" s="84"/>
      <c r="O934" s="85" t="s">
        <v>19</v>
      </c>
      <c r="P934" s="81">
        <f t="shared" si="328"/>
        <v>0</v>
      </c>
      <c r="Q934" s="85" t="s">
        <v>19</v>
      </c>
      <c r="R934" s="16">
        <f t="shared" si="329"/>
        <v>0</v>
      </c>
      <c r="S934" s="16">
        <f t="shared" si="317"/>
        <v>0</v>
      </c>
    </row>
    <row r="935" spans="1:19">
      <c r="A935" s="17" t="s">
        <v>561</v>
      </c>
      <c r="B935" s="2" t="s">
        <v>18</v>
      </c>
      <c r="D935" s="4" t="s">
        <v>19</v>
      </c>
      <c r="E935" s="5">
        <v>2</v>
      </c>
      <c r="F935" s="6">
        <v>1</v>
      </c>
      <c r="G935" s="7" t="s">
        <v>20</v>
      </c>
      <c r="H935" s="6">
        <v>36</v>
      </c>
      <c r="I935" s="7" t="s">
        <v>19</v>
      </c>
      <c r="J935" s="8">
        <v>58000</v>
      </c>
      <c r="K935" s="4" t="s">
        <v>19</v>
      </c>
      <c r="L935" s="9">
        <v>0.125</v>
      </c>
      <c r="M935" s="9">
        <v>0.05</v>
      </c>
      <c r="O935" s="7" t="s">
        <v>19</v>
      </c>
      <c r="P935" s="3">
        <f t="shared" si="328"/>
        <v>72</v>
      </c>
      <c r="Q935" s="7" t="s">
        <v>19</v>
      </c>
      <c r="R935" s="8">
        <f t="shared" si="329"/>
        <v>3471300</v>
      </c>
      <c r="S935" s="8">
        <f t="shared" si="317"/>
        <v>3127297.297297297</v>
      </c>
    </row>
    <row r="936" spans="1:19">
      <c r="A936" s="17" t="s">
        <v>562</v>
      </c>
      <c r="B936" s="2" t="s">
        <v>18</v>
      </c>
      <c r="C936" s="3">
        <v>36</v>
      </c>
      <c r="D936" s="4" t="s">
        <v>19</v>
      </c>
      <c r="F936" s="6">
        <v>1</v>
      </c>
      <c r="G936" s="7" t="s">
        <v>20</v>
      </c>
      <c r="H936" s="6">
        <v>12</v>
      </c>
      <c r="I936" s="7" t="s">
        <v>19</v>
      </c>
      <c r="J936" s="8">
        <v>97000</v>
      </c>
      <c r="K936" s="4" t="s">
        <v>19</v>
      </c>
      <c r="L936" s="9">
        <v>0.125</v>
      </c>
      <c r="M936" s="9">
        <v>0.05</v>
      </c>
      <c r="O936" s="7" t="s">
        <v>19</v>
      </c>
      <c r="P936" s="3">
        <f t="shared" si="328"/>
        <v>36</v>
      </c>
      <c r="Q936" s="7" t="s">
        <v>19</v>
      </c>
      <c r="R936" s="8">
        <f t="shared" si="329"/>
        <v>2902725</v>
      </c>
      <c r="S936" s="8">
        <f t="shared" si="317"/>
        <v>2615067.5675675673</v>
      </c>
    </row>
    <row r="937" spans="1:19" s="19" customFormat="1">
      <c r="A937" s="18" t="s">
        <v>563</v>
      </c>
      <c r="B937" s="19" t="s">
        <v>18</v>
      </c>
      <c r="C937" s="20">
        <v>12</v>
      </c>
      <c r="D937" s="21" t="s">
        <v>19</v>
      </c>
      <c r="E937" s="26">
        <v>2</v>
      </c>
      <c r="F937" s="22">
        <v>1</v>
      </c>
      <c r="G937" s="23" t="s">
        <v>20</v>
      </c>
      <c r="H937" s="22">
        <v>12</v>
      </c>
      <c r="I937" s="23" t="s">
        <v>19</v>
      </c>
      <c r="J937" s="24">
        <v>97000</v>
      </c>
      <c r="K937" s="21" t="s">
        <v>19</v>
      </c>
      <c r="L937" s="25">
        <v>0.125</v>
      </c>
      <c r="M937" s="25">
        <v>0.05</v>
      </c>
      <c r="N937" s="22"/>
      <c r="O937" s="23" t="s">
        <v>19</v>
      </c>
      <c r="P937" s="20">
        <f t="shared" si="328"/>
        <v>36</v>
      </c>
      <c r="Q937" s="23" t="s">
        <v>19</v>
      </c>
      <c r="R937" s="24">
        <f t="shared" si="329"/>
        <v>2902725</v>
      </c>
      <c r="S937" s="24">
        <f t="shared" si="317"/>
        <v>2615067.5675675673</v>
      </c>
    </row>
    <row r="938" spans="1:19">
      <c r="A938" s="17" t="s">
        <v>564</v>
      </c>
      <c r="B938" s="2" t="s">
        <v>18</v>
      </c>
      <c r="C938" s="3">
        <v>2</v>
      </c>
      <c r="D938" s="4" t="s">
        <v>19</v>
      </c>
      <c r="E938" s="5">
        <v>2</v>
      </c>
      <c r="F938" s="6">
        <v>1</v>
      </c>
      <c r="G938" s="7" t="s">
        <v>20</v>
      </c>
      <c r="H938" s="6">
        <v>6</v>
      </c>
      <c r="I938" s="7" t="s">
        <v>19</v>
      </c>
      <c r="J938" s="8">
        <v>187000</v>
      </c>
      <c r="K938" s="4" t="s">
        <v>19</v>
      </c>
      <c r="L938" s="9">
        <v>0.125</v>
      </c>
      <c r="M938" s="9">
        <v>0.05</v>
      </c>
      <c r="O938" s="7" t="s">
        <v>19</v>
      </c>
      <c r="P938" s="3">
        <f t="shared" si="328"/>
        <v>14</v>
      </c>
      <c r="Q938" s="7" t="s">
        <v>19</v>
      </c>
      <c r="R938" s="8">
        <f t="shared" si="329"/>
        <v>2176212.5</v>
      </c>
      <c r="S938" s="8">
        <f t="shared" si="317"/>
        <v>1960551.8018018017</v>
      </c>
    </row>
    <row r="939" spans="1:19">
      <c r="A939" s="17" t="s">
        <v>565</v>
      </c>
      <c r="B939" s="2" t="s">
        <v>18</v>
      </c>
      <c r="C939" s="3">
        <v>6</v>
      </c>
      <c r="D939" s="4" t="s">
        <v>19</v>
      </c>
      <c r="F939" s="6">
        <v>1</v>
      </c>
      <c r="G939" s="7" t="s">
        <v>20</v>
      </c>
      <c r="H939" s="6">
        <v>6</v>
      </c>
      <c r="I939" s="7" t="s">
        <v>19</v>
      </c>
      <c r="J939" s="8">
        <v>420000</v>
      </c>
      <c r="K939" s="4" t="s">
        <v>19</v>
      </c>
      <c r="L939" s="9">
        <v>0.125</v>
      </c>
      <c r="M939" s="9">
        <v>0.05</v>
      </c>
      <c r="O939" s="7" t="s">
        <v>19</v>
      </c>
      <c r="P939" s="3">
        <f t="shared" si="328"/>
        <v>6</v>
      </c>
      <c r="Q939" s="7" t="s">
        <v>19</v>
      </c>
      <c r="R939" s="8">
        <f t="shared" si="329"/>
        <v>2094750</v>
      </c>
      <c r="S939" s="8">
        <f t="shared" si="317"/>
        <v>1887162.1621621619</v>
      </c>
    </row>
    <row r="941" spans="1:19" s="19" customFormat="1">
      <c r="A941" s="18" t="s">
        <v>566</v>
      </c>
      <c r="B941" s="19" t="s">
        <v>25</v>
      </c>
      <c r="C941" s="20"/>
      <c r="D941" s="21" t="s">
        <v>40</v>
      </c>
      <c r="E941" s="26">
        <v>100</v>
      </c>
      <c r="F941" s="22">
        <v>1</v>
      </c>
      <c r="G941" s="23" t="s">
        <v>20</v>
      </c>
      <c r="H941" s="22">
        <v>20</v>
      </c>
      <c r="I941" s="23" t="s">
        <v>40</v>
      </c>
      <c r="J941" s="24">
        <f>1860000/20</f>
        <v>93000</v>
      </c>
      <c r="K941" s="21" t="s">
        <v>40</v>
      </c>
      <c r="L941" s="25">
        <v>0.03</v>
      </c>
      <c r="M941" s="25">
        <v>0.17</v>
      </c>
      <c r="N941" s="22"/>
      <c r="O941" s="23" t="s">
        <v>40</v>
      </c>
      <c r="P941" s="20">
        <f t="shared" ref="P941" si="333">(C941+(E941*F941*H941))-N941</f>
        <v>2000</v>
      </c>
      <c r="Q941" s="23" t="s">
        <v>40</v>
      </c>
      <c r="R941" s="24">
        <f t="shared" ref="R941" si="334">P941*(J941-(J941*L941)-((J941-(J941*L941))*M941))</f>
        <v>149748600</v>
      </c>
      <c r="S941" s="24">
        <f t="shared" ref="S941" si="335">R941/1.11</f>
        <v>134908648.64864865</v>
      </c>
    </row>
    <row r="942" spans="1:19" s="19" customFormat="1">
      <c r="A942" s="18" t="s">
        <v>566</v>
      </c>
      <c r="B942" s="19" t="s">
        <v>25</v>
      </c>
      <c r="C942" s="20">
        <v>214</v>
      </c>
      <c r="D942" s="21" t="s">
        <v>40</v>
      </c>
      <c r="E942" s="26">
        <v>23</v>
      </c>
      <c r="F942" s="22">
        <v>1</v>
      </c>
      <c r="G942" s="23" t="s">
        <v>20</v>
      </c>
      <c r="H942" s="22">
        <v>20</v>
      </c>
      <c r="I942" s="23" t="s">
        <v>40</v>
      </c>
      <c r="J942" s="24">
        <f>1860000/20</f>
        <v>93000</v>
      </c>
      <c r="K942" s="21" t="s">
        <v>40</v>
      </c>
      <c r="L942" s="25"/>
      <c r="M942" s="25">
        <v>0.17</v>
      </c>
      <c r="N942" s="22"/>
      <c r="O942" s="23" t="s">
        <v>40</v>
      </c>
      <c r="P942" s="20">
        <f t="shared" ref="P942:P961" si="336">(C942+(E942*F942*H942))-N942</f>
        <v>674</v>
      </c>
      <c r="Q942" s="23" t="s">
        <v>40</v>
      </c>
      <c r="R942" s="24">
        <f t="shared" ref="R942:R961" si="337">P942*(J942-(J942*L942)-((J942-(J942*L942))*M942))</f>
        <v>52026060</v>
      </c>
      <c r="S942" s="24">
        <f t="shared" si="317"/>
        <v>46870324.324324317</v>
      </c>
    </row>
    <row r="943" spans="1:19" s="19" customFormat="1">
      <c r="A943" s="18" t="s">
        <v>567</v>
      </c>
      <c r="B943" s="19" t="s">
        <v>25</v>
      </c>
      <c r="C943" s="20">
        <v>40</v>
      </c>
      <c r="D943" s="21" t="s">
        <v>40</v>
      </c>
      <c r="E943" s="26">
        <v>4</v>
      </c>
      <c r="F943" s="22">
        <v>1</v>
      </c>
      <c r="G943" s="23" t="s">
        <v>20</v>
      </c>
      <c r="H943" s="22">
        <v>20</v>
      </c>
      <c r="I943" s="23" t="s">
        <v>40</v>
      </c>
      <c r="J943" s="24">
        <f>1740000/20</f>
        <v>87000</v>
      </c>
      <c r="K943" s="21" t="s">
        <v>40</v>
      </c>
      <c r="L943" s="25"/>
      <c r="M943" s="25">
        <v>0.17</v>
      </c>
      <c r="N943" s="22"/>
      <c r="O943" s="23" t="s">
        <v>40</v>
      </c>
      <c r="P943" s="20">
        <f t="shared" si="336"/>
        <v>120</v>
      </c>
      <c r="Q943" s="23" t="s">
        <v>40</v>
      </c>
      <c r="R943" s="24">
        <f t="shared" si="337"/>
        <v>8665200</v>
      </c>
      <c r="S943" s="24">
        <f t="shared" si="317"/>
        <v>7806486.4864864862</v>
      </c>
    </row>
    <row r="944" spans="1:19" s="19" customFormat="1">
      <c r="A944" s="18" t="s">
        <v>568</v>
      </c>
      <c r="B944" s="19" t="s">
        <v>25</v>
      </c>
      <c r="C944" s="20">
        <v>100</v>
      </c>
      <c r="D944" s="21" t="s">
        <v>40</v>
      </c>
      <c r="E944" s="26"/>
      <c r="F944" s="22">
        <v>1</v>
      </c>
      <c r="G944" s="23" t="s">
        <v>20</v>
      </c>
      <c r="H944" s="22">
        <v>20</v>
      </c>
      <c r="I944" s="23" t="s">
        <v>40</v>
      </c>
      <c r="J944" s="24">
        <f>1740000/20</f>
        <v>87000</v>
      </c>
      <c r="K944" s="21" t="s">
        <v>40</v>
      </c>
      <c r="L944" s="25"/>
      <c r="M944" s="25">
        <v>0.17</v>
      </c>
      <c r="N944" s="22"/>
      <c r="O944" s="23" t="s">
        <v>40</v>
      </c>
      <c r="P944" s="20">
        <f t="shared" si="336"/>
        <v>100</v>
      </c>
      <c r="Q944" s="23" t="s">
        <v>40</v>
      </c>
      <c r="R944" s="24">
        <f t="shared" si="337"/>
        <v>7221000</v>
      </c>
      <c r="S944" s="24">
        <f t="shared" si="317"/>
        <v>6505405.405405405</v>
      </c>
    </row>
    <row r="945" spans="1:19" s="19" customFormat="1">
      <c r="A945" s="18" t="s">
        <v>569</v>
      </c>
      <c r="B945" s="19" t="s">
        <v>25</v>
      </c>
      <c r="C945" s="20">
        <v>5</v>
      </c>
      <c r="D945" s="21" t="s">
        <v>40</v>
      </c>
      <c r="E945" s="26">
        <v>8</v>
      </c>
      <c r="F945" s="22">
        <v>1</v>
      </c>
      <c r="G945" s="23" t="s">
        <v>20</v>
      </c>
      <c r="H945" s="22">
        <v>20</v>
      </c>
      <c r="I945" s="23" t="s">
        <v>40</v>
      </c>
      <c r="J945" s="24">
        <f>2352000/20</f>
        <v>117600</v>
      </c>
      <c r="K945" s="21" t="s">
        <v>40</v>
      </c>
      <c r="L945" s="25"/>
      <c r="M945" s="25">
        <v>0.17</v>
      </c>
      <c r="N945" s="22"/>
      <c r="O945" s="47" t="s">
        <v>40</v>
      </c>
      <c r="P945" s="20">
        <f t="shared" si="336"/>
        <v>165</v>
      </c>
      <c r="Q945" s="23" t="s">
        <v>40</v>
      </c>
      <c r="R945" s="24">
        <f t="shared" si="337"/>
        <v>16105320</v>
      </c>
      <c r="S945" s="24">
        <f t="shared" si="317"/>
        <v>14509297.297297295</v>
      </c>
    </row>
    <row r="946" spans="1:19" s="19" customFormat="1">
      <c r="A946" s="18" t="s">
        <v>653</v>
      </c>
      <c r="B946" s="19" t="s">
        <v>25</v>
      </c>
      <c r="C946" s="20">
        <v>40</v>
      </c>
      <c r="D946" s="21" t="s">
        <v>40</v>
      </c>
      <c r="E946" s="26">
        <v>10</v>
      </c>
      <c r="F946" s="22">
        <v>1</v>
      </c>
      <c r="G946" s="23" t="s">
        <v>20</v>
      </c>
      <c r="H946" s="22">
        <v>20</v>
      </c>
      <c r="I946" s="23" t="s">
        <v>40</v>
      </c>
      <c r="J946" s="24">
        <f>2352000/20</f>
        <v>117600</v>
      </c>
      <c r="K946" s="21" t="s">
        <v>40</v>
      </c>
      <c r="L946" s="25"/>
      <c r="M946" s="25">
        <v>0.17</v>
      </c>
      <c r="N946" s="22"/>
      <c r="O946" s="74" t="s">
        <v>40</v>
      </c>
      <c r="P946" s="20">
        <f t="shared" si="336"/>
        <v>240</v>
      </c>
      <c r="Q946" s="23" t="s">
        <v>40</v>
      </c>
      <c r="R946" s="24">
        <f t="shared" si="337"/>
        <v>23425920</v>
      </c>
      <c r="S946" s="24">
        <f t="shared" si="317"/>
        <v>21104432.432432432</v>
      </c>
    </row>
    <row r="947" spans="1:19" s="19" customFormat="1">
      <c r="A947" s="18" t="s">
        <v>570</v>
      </c>
      <c r="B947" s="19" t="s">
        <v>25</v>
      </c>
      <c r="C947" s="20">
        <v>100</v>
      </c>
      <c r="D947" s="21" t="s">
        <v>40</v>
      </c>
      <c r="E947" s="26"/>
      <c r="F947" s="22">
        <v>1</v>
      </c>
      <c r="G947" s="23" t="s">
        <v>20</v>
      </c>
      <c r="H947" s="22">
        <v>20</v>
      </c>
      <c r="I947" s="23" t="s">
        <v>40</v>
      </c>
      <c r="J947" s="24">
        <f>2352000/20</f>
        <v>117600</v>
      </c>
      <c r="K947" s="21" t="s">
        <v>40</v>
      </c>
      <c r="L947" s="25"/>
      <c r="M947" s="25">
        <v>0.17</v>
      </c>
      <c r="N947" s="22"/>
      <c r="O947" s="23" t="s">
        <v>40</v>
      </c>
      <c r="P947" s="20">
        <f t="shared" si="336"/>
        <v>100</v>
      </c>
      <c r="Q947" s="23" t="s">
        <v>40</v>
      </c>
      <c r="R947" s="24">
        <f t="shared" si="337"/>
        <v>9760800</v>
      </c>
      <c r="S947" s="24">
        <f t="shared" si="317"/>
        <v>8793513.5135135129</v>
      </c>
    </row>
    <row r="948" spans="1:19" s="89" customFormat="1">
      <c r="A948" s="88" t="s">
        <v>780</v>
      </c>
      <c r="B948" s="89" t="s">
        <v>25</v>
      </c>
      <c r="C948" s="87"/>
      <c r="D948" s="90" t="s">
        <v>40</v>
      </c>
      <c r="E948" s="91"/>
      <c r="F948" s="92">
        <v>1</v>
      </c>
      <c r="G948" s="93" t="s">
        <v>20</v>
      </c>
      <c r="H948" s="92">
        <v>10</v>
      </c>
      <c r="I948" s="93" t="s">
        <v>40</v>
      </c>
      <c r="J948" s="94">
        <f>2400000/10</f>
        <v>240000</v>
      </c>
      <c r="K948" s="90" t="s">
        <v>40</v>
      </c>
      <c r="L948" s="95"/>
      <c r="M948" s="95">
        <v>0.17</v>
      </c>
      <c r="N948" s="92"/>
      <c r="O948" s="97" t="s">
        <v>40</v>
      </c>
      <c r="P948" s="87">
        <f t="shared" si="336"/>
        <v>0</v>
      </c>
      <c r="Q948" s="93" t="s">
        <v>40</v>
      </c>
      <c r="R948" s="94">
        <f t="shared" si="337"/>
        <v>0</v>
      </c>
      <c r="S948" s="94">
        <f t="shared" si="317"/>
        <v>0</v>
      </c>
    </row>
    <row r="949" spans="1:19">
      <c r="A949" s="17" t="s">
        <v>571</v>
      </c>
      <c r="B949" s="2" t="s">
        <v>25</v>
      </c>
      <c r="C949" s="3">
        <v>25</v>
      </c>
      <c r="D949" s="4" t="s">
        <v>40</v>
      </c>
      <c r="F949" s="6">
        <v>1</v>
      </c>
      <c r="G949" s="7" t="s">
        <v>20</v>
      </c>
      <c r="H949" s="6">
        <v>40</v>
      </c>
      <c r="I949" s="7" t="s">
        <v>40</v>
      </c>
      <c r="J949" s="8">
        <f>2688000/40</f>
        <v>67200</v>
      </c>
      <c r="K949" s="4" t="s">
        <v>40</v>
      </c>
      <c r="M949" s="9">
        <v>0.17</v>
      </c>
      <c r="O949" s="7" t="s">
        <v>40</v>
      </c>
      <c r="P949" s="3">
        <f t="shared" si="336"/>
        <v>25</v>
      </c>
      <c r="Q949" s="7" t="s">
        <v>40</v>
      </c>
      <c r="R949" s="8">
        <f t="shared" si="337"/>
        <v>1394400</v>
      </c>
      <c r="S949" s="8">
        <f t="shared" si="317"/>
        <v>1256216.2162162161</v>
      </c>
    </row>
    <row r="950" spans="1:19" s="80" customFormat="1">
      <c r="A950" s="79" t="s">
        <v>572</v>
      </c>
      <c r="B950" s="80" t="s">
        <v>25</v>
      </c>
      <c r="C950" s="81"/>
      <c r="D950" s="82" t="s">
        <v>40</v>
      </c>
      <c r="E950" s="83"/>
      <c r="F950" s="84">
        <v>1</v>
      </c>
      <c r="G950" s="85" t="s">
        <v>20</v>
      </c>
      <c r="H950" s="84">
        <v>20</v>
      </c>
      <c r="I950" s="85" t="s">
        <v>40</v>
      </c>
      <c r="J950" s="16">
        <v>120000</v>
      </c>
      <c r="K950" s="82" t="s">
        <v>40</v>
      </c>
      <c r="L950" s="86"/>
      <c r="M950" s="86">
        <v>0.17</v>
      </c>
      <c r="N950" s="84"/>
      <c r="O950" s="85" t="s">
        <v>40</v>
      </c>
      <c r="P950" s="81">
        <f t="shared" si="336"/>
        <v>0</v>
      </c>
      <c r="Q950" s="85" t="s">
        <v>40</v>
      </c>
      <c r="R950" s="16">
        <f t="shared" si="337"/>
        <v>0</v>
      </c>
      <c r="S950" s="16">
        <f t="shared" si="317"/>
        <v>0</v>
      </c>
    </row>
    <row r="951" spans="1:19" s="19" customFormat="1">
      <c r="A951" s="18" t="s">
        <v>573</v>
      </c>
      <c r="B951" s="19" t="s">
        <v>25</v>
      </c>
      <c r="C951" s="20">
        <v>23</v>
      </c>
      <c r="D951" s="21" t="s">
        <v>40</v>
      </c>
      <c r="E951" s="26"/>
      <c r="F951" s="22">
        <v>1</v>
      </c>
      <c r="G951" s="23" t="s">
        <v>20</v>
      </c>
      <c r="H951" s="22">
        <v>25</v>
      </c>
      <c r="I951" s="23" t="s">
        <v>40</v>
      </c>
      <c r="J951" s="24">
        <f>1740000/25</f>
        <v>69600</v>
      </c>
      <c r="K951" s="21" t="s">
        <v>40</v>
      </c>
      <c r="L951" s="25"/>
      <c r="M951" s="25">
        <v>0.17</v>
      </c>
      <c r="N951" s="22"/>
      <c r="O951" s="23" t="s">
        <v>40</v>
      </c>
      <c r="P951" s="20">
        <f t="shared" si="336"/>
        <v>23</v>
      </c>
      <c r="Q951" s="23" t="s">
        <v>40</v>
      </c>
      <c r="R951" s="24">
        <f t="shared" si="337"/>
        <v>1328664</v>
      </c>
      <c r="S951" s="24">
        <f t="shared" si="317"/>
        <v>1196994.5945945946</v>
      </c>
    </row>
    <row r="952" spans="1:19" s="89" customFormat="1">
      <c r="A952" s="88" t="s">
        <v>574</v>
      </c>
      <c r="B952" s="89" t="s">
        <v>25</v>
      </c>
      <c r="C952" s="87"/>
      <c r="D952" s="90" t="s">
        <v>40</v>
      </c>
      <c r="E952" s="91"/>
      <c r="F952" s="92">
        <v>1</v>
      </c>
      <c r="G952" s="93" t="s">
        <v>20</v>
      </c>
      <c r="H952" s="92">
        <v>10</v>
      </c>
      <c r="I952" s="93" t="s">
        <v>40</v>
      </c>
      <c r="J952" s="94">
        <f>2280000/10</f>
        <v>228000</v>
      </c>
      <c r="K952" s="90" t="s">
        <v>40</v>
      </c>
      <c r="L952" s="95"/>
      <c r="M952" s="95">
        <v>0.17</v>
      </c>
      <c r="N952" s="92"/>
      <c r="O952" s="93" t="s">
        <v>40</v>
      </c>
      <c r="P952" s="87">
        <f t="shared" si="336"/>
        <v>0</v>
      </c>
      <c r="Q952" s="93" t="s">
        <v>40</v>
      </c>
      <c r="R952" s="94">
        <f t="shared" si="337"/>
        <v>0</v>
      </c>
      <c r="S952" s="16">
        <f t="shared" si="317"/>
        <v>0</v>
      </c>
    </row>
    <row r="953" spans="1:19" s="19" customFormat="1">
      <c r="A953" s="18" t="s">
        <v>575</v>
      </c>
      <c r="B953" s="19" t="s">
        <v>25</v>
      </c>
      <c r="C953" s="20">
        <v>57</v>
      </c>
      <c r="D953" s="21" t="s">
        <v>40</v>
      </c>
      <c r="E953" s="26">
        <v>13</v>
      </c>
      <c r="F953" s="22">
        <v>1</v>
      </c>
      <c r="G953" s="23" t="s">
        <v>20</v>
      </c>
      <c r="H953" s="22">
        <v>10</v>
      </c>
      <c r="I953" s="23" t="s">
        <v>40</v>
      </c>
      <c r="J953" s="24">
        <f>2280000/10</f>
        <v>228000</v>
      </c>
      <c r="K953" s="21" t="s">
        <v>40</v>
      </c>
      <c r="L953" s="25"/>
      <c r="M953" s="25">
        <v>0.17</v>
      </c>
      <c r="N953" s="22"/>
      <c r="O953" s="75" t="s">
        <v>40</v>
      </c>
      <c r="P953" s="20">
        <f t="shared" si="336"/>
        <v>187</v>
      </c>
      <c r="Q953" s="23" t="s">
        <v>40</v>
      </c>
      <c r="R953" s="24">
        <f t="shared" si="337"/>
        <v>35387880</v>
      </c>
      <c r="S953" s="24">
        <f t="shared" si="317"/>
        <v>31880972.97297297</v>
      </c>
    </row>
    <row r="954" spans="1:19" s="19" customFormat="1">
      <c r="A954" s="18" t="s">
        <v>576</v>
      </c>
      <c r="B954" s="19" t="s">
        <v>25</v>
      </c>
      <c r="C954" s="20">
        <v>50</v>
      </c>
      <c r="D954" s="21" t="s">
        <v>40</v>
      </c>
      <c r="E954" s="26"/>
      <c r="F954" s="22">
        <v>1</v>
      </c>
      <c r="G954" s="23" t="s">
        <v>20</v>
      </c>
      <c r="H954" s="22">
        <v>10</v>
      </c>
      <c r="I954" s="23" t="s">
        <v>40</v>
      </c>
      <c r="J954" s="24">
        <f>2040000/10</f>
        <v>204000</v>
      </c>
      <c r="K954" s="21" t="s">
        <v>40</v>
      </c>
      <c r="L954" s="25"/>
      <c r="M954" s="25">
        <v>0.17</v>
      </c>
      <c r="N954" s="22"/>
      <c r="O954" s="23" t="s">
        <v>40</v>
      </c>
      <c r="P954" s="20">
        <f t="shared" si="336"/>
        <v>50</v>
      </c>
      <c r="Q954" s="23" t="s">
        <v>40</v>
      </c>
      <c r="R954" s="24">
        <f t="shared" si="337"/>
        <v>8466000</v>
      </c>
      <c r="S954" s="24">
        <f t="shared" si="317"/>
        <v>7627027.0270270268</v>
      </c>
    </row>
    <row r="955" spans="1:19" s="19" customFormat="1">
      <c r="A955" s="164" t="s">
        <v>577</v>
      </c>
      <c r="B955" s="19" t="s">
        <v>25</v>
      </c>
      <c r="C955" s="20"/>
      <c r="D955" s="21" t="s">
        <v>40</v>
      </c>
      <c r="E955" s="26">
        <v>5</v>
      </c>
      <c r="F955" s="22">
        <v>1</v>
      </c>
      <c r="G955" s="23" t="s">
        <v>20</v>
      </c>
      <c r="H955" s="22">
        <v>10</v>
      </c>
      <c r="I955" s="23" t="s">
        <v>40</v>
      </c>
      <c r="J955" s="24">
        <v>228000</v>
      </c>
      <c r="K955" s="21" t="s">
        <v>40</v>
      </c>
      <c r="L955" s="25"/>
      <c r="M955" s="25">
        <v>0.17</v>
      </c>
      <c r="N955" s="22"/>
      <c r="O955" s="23" t="s">
        <v>40</v>
      </c>
      <c r="P955" s="20">
        <f t="shared" ref="P955" si="338">(C955+(E955*F955*H955))-N955</f>
        <v>50</v>
      </c>
      <c r="Q955" s="23" t="s">
        <v>40</v>
      </c>
      <c r="R955" s="24">
        <f t="shared" ref="R955" si="339">P955*(J955-(J955*L955)-((J955-(J955*L955))*M955))</f>
        <v>9462000</v>
      </c>
      <c r="S955" s="24">
        <f t="shared" ref="S955" si="340">R955/1.11</f>
        <v>8524324.3243243229</v>
      </c>
    </row>
    <row r="956" spans="1:19" s="19" customFormat="1">
      <c r="A956" s="18" t="s">
        <v>577</v>
      </c>
      <c r="B956" s="19" t="s">
        <v>25</v>
      </c>
      <c r="C956" s="20">
        <v>40</v>
      </c>
      <c r="D956" s="21" t="s">
        <v>40</v>
      </c>
      <c r="E956" s="26"/>
      <c r="F956" s="22">
        <v>1</v>
      </c>
      <c r="G956" s="23" t="s">
        <v>20</v>
      </c>
      <c r="H956" s="22">
        <v>10</v>
      </c>
      <c r="I956" s="23" t="s">
        <v>40</v>
      </c>
      <c r="J956" s="24">
        <f>2040000/10</f>
        <v>204000</v>
      </c>
      <c r="K956" s="21" t="s">
        <v>40</v>
      </c>
      <c r="L956" s="25"/>
      <c r="M956" s="25">
        <v>0.17</v>
      </c>
      <c r="N956" s="22"/>
      <c r="O956" s="23" t="s">
        <v>40</v>
      </c>
      <c r="P956" s="20">
        <f t="shared" si="336"/>
        <v>40</v>
      </c>
      <c r="Q956" s="23" t="s">
        <v>40</v>
      </c>
      <c r="R956" s="24">
        <f t="shared" si="337"/>
        <v>6772800</v>
      </c>
      <c r="S956" s="24">
        <f t="shared" si="317"/>
        <v>6101621.6216216208</v>
      </c>
    </row>
    <row r="957" spans="1:19" s="80" customFormat="1">
      <c r="A957" s="79" t="s">
        <v>578</v>
      </c>
      <c r="B957" s="80" t="s">
        <v>25</v>
      </c>
      <c r="C957" s="81"/>
      <c r="D957" s="82" t="s">
        <v>19</v>
      </c>
      <c r="E957" s="83"/>
      <c r="F957" s="84">
        <v>20</v>
      </c>
      <c r="G957" s="85" t="s">
        <v>33</v>
      </c>
      <c r="H957" s="84">
        <v>6</v>
      </c>
      <c r="I957" s="85" t="s">
        <v>19</v>
      </c>
      <c r="J957" s="16">
        <v>14500</v>
      </c>
      <c r="K957" s="82" t="s">
        <v>19</v>
      </c>
      <c r="L957" s="86"/>
      <c r="M957" s="86">
        <v>0.17</v>
      </c>
      <c r="N957" s="84"/>
      <c r="O957" s="85" t="s">
        <v>19</v>
      </c>
      <c r="P957" s="81">
        <f t="shared" si="336"/>
        <v>0</v>
      </c>
      <c r="Q957" s="85" t="s">
        <v>19</v>
      </c>
      <c r="R957" s="16">
        <f t="shared" si="337"/>
        <v>0</v>
      </c>
      <c r="S957" s="16">
        <f t="shared" si="317"/>
        <v>0</v>
      </c>
    </row>
    <row r="958" spans="1:19" s="19" customFormat="1">
      <c r="A958" s="18" t="s">
        <v>579</v>
      </c>
      <c r="B958" s="19" t="s">
        <v>25</v>
      </c>
      <c r="C958" s="20">
        <f>23+3</f>
        <v>26</v>
      </c>
      <c r="D958" s="21" t="s">
        <v>19</v>
      </c>
      <c r="E958" s="26">
        <v>2</v>
      </c>
      <c r="F958" s="22">
        <v>1</v>
      </c>
      <c r="G958" s="23" t="s">
        <v>20</v>
      </c>
      <c r="H958" s="22">
        <v>6</v>
      </c>
      <c r="I958" s="23" t="s">
        <v>19</v>
      </c>
      <c r="J958" s="24">
        <f>2160000/6</f>
        <v>360000</v>
      </c>
      <c r="K958" s="21" t="s">
        <v>19</v>
      </c>
      <c r="L958" s="25"/>
      <c r="M958" s="25">
        <v>0.17</v>
      </c>
      <c r="N958" s="22"/>
      <c r="O958" s="23" t="s">
        <v>19</v>
      </c>
      <c r="P958" s="20">
        <f t="shared" si="336"/>
        <v>38</v>
      </c>
      <c r="Q958" s="23" t="s">
        <v>19</v>
      </c>
      <c r="R958" s="24">
        <f t="shared" si="337"/>
        <v>11354400</v>
      </c>
      <c r="S958" s="24">
        <f t="shared" si="317"/>
        <v>10229189.189189188</v>
      </c>
    </row>
    <row r="959" spans="1:19" s="19" customFormat="1">
      <c r="A959" s="18" t="s">
        <v>580</v>
      </c>
      <c r="B959" s="19" t="s">
        <v>25</v>
      </c>
      <c r="C959" s="20">
        <v>6</v>
      </c>
      <c r="D959" s="21" t="s">
        <v>19</v>
      </c>
      <c r="E959" s="26"/>
      <c r="F959" s="22">
        <v>1</v>
      </c>
      <c r="G959" s="23" t="s">
        <v>20</v>
      </c>
      <c r="H959" s="22">
        <v>6</v>
      </c>
      <c r="I959" s="23" t="s">
        <v>19</v>
      </c>
      <c r="J959" s="24">
        <f>930000/6</f>
        <v>155000</v>
      </c>
      <c r="K959" s="21" t="s">
        <v>19</v>
      </c>
      <c r="L959" s="25"/>
      <c r="M959" s="25">
        <v>0.17</v>
      </c>
      <c r="N959" s="22"/>
      <c r="O959" s="23" t="s">
        <v>19</v>
      </c>
      <c r="P959" s="20">
        <f t="shared" si="336"/>
        <v>6</v>
      </c>
      <c r="Q959" s="23" t="s">
        <v>19</v>
      </c>
      <c r="R959" s="24">
        <f t="shared" si="337"/>
        <v>771900</v>
      </c>
      <c r="S959" s="24">
        <f t="shared" si="317"/>
        <v>695405.40540540533</v>
      </c>
    </row>
    <row r="960" spans="1:19" s="19" customFormat="1">
      <c r="A960" s="18" t="s">
        <v>581</v>
      </c>
      <c r="B960" s="19" t="s">
        <v>25</v>
      </c>
      <c r="C960" s="20">
        <v>30</v>
      </c>
      <c r="D960" s="21" t="s">
        <v>19</v>
      </c>
      <c r="E960" s="26">
        <v>5</v>
      </c>
      <c r="F960" s="22">
        <v>1</v>
      </c>
      <c r="G960" s="23" t="s">
        <v>20</v>
      </c>
      <c r="H960" s="22">
        <v>6</v>
      </c>
      <c r="I960" s="23" t="s">
        <v>19</v>
      </c>
      <c r="J960" s="24">
        <f>504000/6</f>
        <v>84000</v>
      </c>
      <c r="K960" s="21" t="s">
        <v>19</v>
      </c>
      <c r="L960" s="25"/>
      <c r="M960" s="25">
        <v>0.17</v>
      </c>
      <c r="N960" s="22"/>
      <c r="O960" s="23" t="s">
        <v>19</v>
      </c>
      <c r="P960" s="20">
        <f t="shared" si="336"/>
        <v>60</v>
      </c>
      <c r="Q960" s="23" t="s">
        <v>19</v>
      </c>
      <c r="R960" s="24">
        <f t="shared" si="337"/>
        <v>4183200</v>
      </c>
      <c r="S960" s="24">
        <f t="shared" ref="S960:S969" si="341">R960/1.11</f>
        <v>3768648.6486486485</v>
      </c>
    </row>
    <row r="961" spans="1:19" s="80" customFormat="1">
      <c r="A961" s="79" t="s">
        <v>582</v>
      </c>
      <c r="B961" s="80" t="s">
        <v>25</v>
      </c>
      <c r="C961" s="81"/>
      <c r="D961" s="82" t="s">
        <v>19</v>
      </c>
      <c r="E961" s="83"/>
      <c r="F961" s="84">
        <v>1</v>
      </c>
      <c r="G961" s="85" t="s">
        <v>20</v>
      </c>
      <c r="H961" s="84">
        <v>6</v>
      </c>
      <c r="I961" s="85" t="s">
        <v>19</v>
      </c>
      <c r="J961" s="16">
        <f>990000/6</f>
        <v>165000</v>
      </c>
      <c r="K961" s="82" t="s">
        <v>19</v>
      </c>
      <c r="L961" s="86"/>
      <c r="M961" s="86">
        <v>0.17</v>
      </c>
      <c r="N961" s="84"/>
      <c r="O961" s="85" t="s">
        <v>19</v>
      </c>
      <c r="P961" s="81">
        <f t="shared" si="336"/>
        <v>0</v>
      </c>
      <c r="Q961" s="85" t="s">
        <v>19</v>
      </c>
      <c r="R961" s="16">
        <f t="shared" si="337"/>
        <v>0</v>
      </c>
      <c r="S961" s="16">
        <f t="shared" si="341"/>
        <v>0</v>
      </c>
    </row>
    <row r="963" spans="1:19">
      <c r="A963" s="59" t="s">
        <v>583</v>
      </c>
      <c r="B963" s="2" t="s">
        <v>584</v>
      </c>
      <c r="C963" s="3">
        <v>167</v>
      </c>
      <c r="D963" s="4" t="s">
        <v>40</v>
      </c>
      <c r="F963" s="6">
        <v>1</v>
      </c>
      <c r="G963" s="7" t="s">
        <v>20</v>
      </c>
      <c r="H963" s="6">
        <v>30</v>
      </c>
      <c r="I963" s="7" t="s">
        <v>40</v>
      </c>
      <c r="J963" s="8">
        <v>130000</v>
      </c>
      <c r="K963" s="4" t="s">
        <v>40</v>
      </c>
      <c r="L963" s="9">
        <v>0.17499999999999999</v>
      </c>
      <c r="M963" s="9">
        <v>0.03</v>
      </c>
      <c r="O963" s="7" t="s">
        <v>40</v>
      </c>
      <c r="P963" s="3">
        <f>(C963+(E963*F963*H963))-N963</f>
        <v>167</v>
      </c>
      <c r="Q963" s="7" t="s">
        <v>40</v>
      </c>
      <c r="R963" s="8">
        <f>P963*(J963-(J963*L963)-((J963-(J963*L963))*M963))</f>
        <v>17373427.5</v>
      </c>
      <c r="S963" s="8">
        <f t="shared" si="341"/>
        <v>15651736.486486485</v>
      </c>
    </row>
    <row r="964" spans="1:19">
      <c r="A964" s="59" t="s">
        <v>585</v>
      </c>
      <c r="B964" s="2" t="s">
        <v>584</v>
      </c>
      <c r="C964" s="3">
        <v>90</v>
      </c>
      <c r="D964" s="4" t="s">
        <v>40</v>
      </c>
      <c r="F964" s="6">
        <v>1</v>
      </c>
      <c r="G964" s="7" t="s">
        <v>20</v>
      </c>
      <c r="H964" s="6">
        <v>30</v>
      </c>
      <c r="I964" s="7" t="s">
        <v>40</v>
      </c>
      <c r="J964" s="8">
        <v>216000</v>
      </c>
      <c r="K964" s="4" t="s">
        <v>40</v>
      </c>
      <c r="M964" s="9">
        <v>0.15</v>
      </c>
      <c r="O964" s="7" t="s">
        <v>40</v>
      </c>
      <c r="P964" s="3">
        <f>(C964+(E964*F964*H964))-N964</f>
        <v>90</v>
      </c>
      <c r="Q964" s="7" t="s">
        <v>40</v>
      </c>
      <c r="R964" s="8">
        <f>P964*(J964-(J964*L964)-((J964-(J964*L964))*M964))</f>
        <v>16524000</v>
      </c>
      <c r="S964" s="8">
        <f t="shared" si="341"/>
        <v>14886486.486486485</v>
      </c>
    </row>
    <row r="965" spans="1:19" s="80" customFormat="1">
      <c r="A965" s="153" t="s">
        <v>586</v>
      </c>
      <c r="B965" s="80" t="s">
        <v>584</v>
      </c>
      <c r="C965" s="81"/>
      <c r="D965" s="82" t="s">
        <v>40</v>
      </c>
      <c r="E965" s="83"/>
      <c r="F965" s="84">
        <v>1</v>
      </c>
      <c r="G965" s="85" t="s">
        <v>20</v>
      </c>
      <c r="H965" s="84">
        <v>30</v>
      </c>
      <c r="I965" s="85" t="s">
        <v>40</v>
      </c>
      <c r="J965" s="16">
        <v>216000</v>
      </c>
      <c r="K965" s="82" t="s">
        <v>40</v>
      </c>
      <c r="L965" s="86"/>
      <c r="M965" s="86">
        <v>0.15</v>
      </c>
      <c r="N965" s="84"/>
      <c r="O965" s="85" t="s">
        <v>40</v>
      </c>
      <c r="P965" s="81">
        <f>(C965+(E965*F965*H965))-N965</f>
        <v>0</v>
      </c>
      <c r="Q965" s="85" t="s">
        <v>40</v>
      </c>
      <c r="R965" s="16">
        <f>P965*(J965-(J965*L965)-((J965-(J965*L965))*M965))</f>
        <v>0</v>
      </c>
      <c r="S965" s="16">
        <f t="shared" si="341"/>
        <v>0</v>
      </c>
    </row>
    <row r="966" spans="1:19" s="80" customFormat="1">
      <c r="A966" s="153" t="s">
        <v>587</v>
      </c>
      <c r="B966" s="80" t="s">
        <v>584</v>
      </c>
      <c r="C966" s="81"/>
      <c r="D966" s="82" t="s">
        <v>40</v>
      </c>
      <c r="E966" s="83"/>
      <c r="F966" s="84">
        <v>1</v>
      </c>
      <c r="G966" s="85" t="s">
        <v>20</v>
      </c>
      <c r="H966" s="84">
        <v>30</v>
      </c>
      <c r="I966" s="85" t="s">
        <v>40</v>
      </c>
      <c r="J966" s="16">
        <v>220000</v>
      </c>
      <c r="K966" s="82" t="s">
        <v>40</v>
      </c>
      <c r="L966" s="86"/>
      <c r="M966" s="86">
        <v>0.15</v>
      </c>
      <c r="N966" s="84"/>
      <c r="O966" s="85" t="s">
        <v>40</v>
      </c>
      <c r="P966" s="81">
        <f>(C966+(E966*F966*H966))-N966</f>
        <v>0</v>
      </c>
      <c r="Q966" s="85" t="s">
        <v>40</v>
      </c>
      <c r="R966" s="16">
        <f>P966*(J966-(J966*L966)-((J966-(J966*L966))*M966))</f>
        <v>0</v>
      </c>
      <c r="S966" s="16">
        <f t="shared" si="341"/>
        <v>0</v>
      </c>
    </row>
    <row r="967" spans="1:19">
      <c r="A967" s="59" t="s">
        <v>588</v>
      </c>
      <c r="B967" s="2" t="s">
        <v>584</v>
      </c>
      <c r="C967" s="3">
        <v>40</v>
      </c>
      <c r="D967" s="4" t="s">
        <v>40</v>
      </c>
      <c r="F967" s="6">
        <v>1</v>
      </c>
      <c r="G967" s="7" t="s">
        <v>20</v>
      </c>
      <c r="H967" s="6">
        <v>20</v>
      </c>
      <c r="I967" s="7" t="s">
        <v>40</v>
      </c>
      <c r="J967" s="8">
        <v>285600</v>
      </c>
      <c r="K967" s="4" t="s">
        <v>40</v>
      </c>
      <c r="L967" s="9">
        <v>0.17499999999999999</v>
      </c>
      <c r="M967" s="9">
        <v>0.03</v>
      </c>
      <c r="O967" s="7" t="s">
        <v>40</v>
      </c>
      <c r="P967" s="3">
        <f>(C967+(E967*F967*H967))-N967</f>
        <v>40</v>
      </c>
      <c r="Q967" s="7" t="s">
        <v>40</v>
      </c>
      <c r="R967" s="8">
        <f>P967*(J967-(J967*L967)-((J967-(J967*L967))*M967))</f>
        <v>9142056</v>
      </c>
      <c r="S967" s="8">
        <f t="shared" si="341"/>
        <v>8236086.4864864862</v>
      </c>
    </row>
    <row r="968" spans="1:19">
      <c r="A968" s="59"/>
    </row>
    <row r="969" spans="1:19">
      <c r="A969" s="59" t="s">
        <v>589</v>
      </c>
      <c r="B969" s="19" t="s">
        <v>182</v>
      </c>
      <c r="C969" s="3">
        <v>72</v>
      </c>
      <c r="D969" s="4" t="s">
        <v>40</v>
      </c>
      <c r="F969" s="6">
        <v>1</v>
      </c>
      <c r="G969" s="7" t="s">
        <v>20</v>
      </c>
      <c r="H969" s="6">
        <v>5</v>
      </c>
      <c r="I969" s="7" t="s">
        <v>40</v>
      </c>
      <c r="J969" s="8">
        <v>250000</v>
      </c>
      <c r="K969" s="4" t="s">
        <v>40</v>
      </c>
      <c r="O969" s="67" t="s">
        <v>40</v>
      </c>
      <c r="P969" s="3">
        <f>(C969+(E969*F969*H969))-N969</f>
        <v>72</v>
      </c>
      <c r="Q969" s="7" t="s">
        <v>40</v>
      </c>
      <c r="R969" s="8">
        <f>P969*(J969-(J969*L969)-((J969-(J969*L969))*M969))</f>
        <v>18000000</v>
      </c>
      <c r="S969" s="8">
        <f t="shared" si="341"/>
        <v>16216216.216216214</v>
      </c>
    </row>
    <row r="970" spans="1:19">
      <c r="A970" s="59"/>
      <c r="B970" s="19"/>
      <c r="O970" s="67"/>
    </row>
    <row r="971" spans="1:19">
      <c r="A971" s="15" t="s">
        <v>590</v>
      </c>
    </row>
    <row r="972" spans="1:19" s="19" customFormat="1">
      <c r="A972" s="18" t="s">
        <v>592</v>
      </c>
      <c r="B972" s="19" t="s">
        <v>584</v>
      </c>
      <c r="C972" s="20">
        <v>3324</v>
      </c>
      <c r="D972" s="21" t="s">
        <v>99</v>
      </c>
      <c r="E972" s="26">
        <v>70</v>
      </c>
      <c r="F972" s="22">
        <v>1</v>
      </c>
      <c r="G972" s="23" t="s">
        <v>20</v>
      </c>
      <c r="H972" s="22">
        <v>100</v>
      </c>
      <c r="I972" s="23" t="s">
        <v>99</v>
      </c>
      <c r="J972" s="24">
        <v>14000</v>
      </c>
      <c r="K972" s="21" t="s">
        <v>99</v>
      </c>
      <c r="L972" s="25">
        <v>0.1</v>
      </c>
      <c r="M972" s="25"/>
      <c r="N972" s="22"/>
      <c r="O972" s="23" t="s">
        <v>99</v>
      </c>
      <c r="P972" s="20">
        <f>(C972+(E972*F972*H972))-N972</f>
        <v>10324</v>
      </c>
      <c r="Q972" s="23" t="s">
        <v>99</v>
      </c>
      <c r="R972" s="24">
        <f>P972*(J972-(J972*L972)-((J972-(J972*L972))*M972))</f>
        <v>130082400</v>
      </c>
      <c r="S972" s="24">
        <f t="shared" ref="S972:S1073" si="342">R972/1.11</f>
        <v>117191351.35135134</v>
      </c>
    </row>
    <row r="973" spans="1:19" s="19" customFormat="1">
      <c r="A973" s="18" t="s">
        <v>593</v>
      </c>
      <c r="B973" s="19" t="s">
        <v>584</v>
      </c>
      <c r="C973" s="20">
        <v>834</v>
      </c>
      <c r="D973" s="21" t="s">
        <v>99</v>
      </c>
      <c r="E973" s="26">
        <v>15</v>
      </c>
      <c r="F973" s="22">
        <v>1</v>
      </c>
      <c r="G973" s="23" t="s">
        <v>20</v>
      </c>
      <c r="H973" s="22">
        <v>50</v>
      </c>
      <c r="I973" s="23" t="s">
        <v>99</v>
      </c>
      <c r="J973" s="24">
        <v>24000</v>
      </c>
      <c r="K973" s="21" t="s">
        <v>99</v>
      </c>
      <c r="L973" s="25"/>
      <c r="M973" s="25"/>
      <c r="N973" s="22"/>
      <c r="O973" s="23" t="s">
        <v>99</v>
      </c>
      <c r="P973" s="20">
        <f>(C973+(E973*F973*H973))-N973</f>
        <v>1584</v>
      </c>
      <c r="Q973" s="23" t="s">
        <v>99</v>
      </c>
      <c r="R973" s="24">
        <f>P973*(J973-(J973*L973)-((J973-(J973*L973))*M973))</f>
        <v>38016000</v>
      </c>
      <c r="S973" s="24">
        <f t="shared" si="342"/>
        <v>34248648.648648642</v>
      </c>
    </row>
    <row r="974" spans="1:19" s="19" customFormat="1">
      <c r="A974" s="18"/>
      <c r="C974" s="20"/>
      <c r="D974" s="21"/>
      <c r="E974" s="26"/>
      <c r="F974" s="22"/>
      <c r="G974" s="23"/>
      <c r="H974" s="22"/>
      <c r="I974" s="23"/>
      <c r="J974" s="24"/>
      <c r="K974" s="21"/>
      <c r="L974" s="25"/>
      <c r="M974" s="25"/>
      <c r="N974" s="22"/>
      <c r="O974" s="23"/>
      <c r="P974" s="20"/>
      <c r="Q974" s="23"/>
      <c r="R974" s="24"/>
      <c r="S974" s="24"/>
    </row>
    <row r="975" spans="1:19">
      <c r="A975" s="17" t="s">
        <v>591</v>
      </c>
      <c r="B975" s="2" t="s">
        <v>18</v>
      </c>
      <c r="C975" s="3">
        <v>32</v>
      </c>
      <c r="D975" s="4" t="s">
        <v>33</v>
      </c>
      <c r="F975" s="6">
        <v>1</v>
      </c>
      <c r="G975" s="7" t="s">
        <v>20</v>
      </c>
      <c r="H975" s="6">
        <v>50</v>
      </c>
      <c r="I975" s="7" t="s">
        <v>33</v>
      </c>
      <c r="J975" s="8">
        <v>28000</v>
      </c>
      <c r="K975" s="4" t="s">
        <v>33</v>
      </c>
      <c r="L975" s="9">
        <v>0.125</v>
      </c>
      <c r="M975" s="9">
        <v>0.05</v>
      </c>
      <c r="O975" s="7" t="s">
        <v>33</v>
      </c>
      <c r="P975" s="3">
        <f>(C975+(E975*F975*H975))-N975</f>
        <v>32</v>
      </c>
      <c r="Q975" s="7" t="s">
        <v>33</v>
      </c>
      <c r="R975" s="8">
        <f>P975*(J975-(J975*L975)-((J975-(J975*L975))*M975))</f>
        <v>744800</v>
      </c>
      <c r="S975" s="8">
        <f>R975/1.11</f>
        <v>670990.99099099089</v>
      </c>
    </row>
    <row r="977" spans="1:19" s="96" customFormat="1">
      <c r="A977" s="163" t="s">
        <v>594</v>
      </c>
      <c r="B977" s="96" t="s">
        <v>25</v>
      </c>
      <c r="C977" s="99"/>
      <c r="D977" s="100" t="s">
        <v>33</v>
      </c>
      <c r="E977" s="101">
        <v>10</v>
      </c>
      <c r="F977" s="102">
        <v>40</v>
      </c>
      <c r="G977" s="103" t="s">
        <v>99</v>
      </c>
      <c r="H977" s="102">
        <v>20</v>
      </c>
      <c r="I977" s="103" t="s">
        <v>33</v>
      </c>
      <c r="J977" s="104">
        <f>840000/40/20</f>
        <v>1050</v>
      </c>
      <c r="K977" s="100" t="s">
        <v>33</v>
      </c>
      <c r="L977" s="105"/>
      <c r="M977" s="105">
        <v>0.17</v>
      </c>
      <c r="N977" s="102"/>
      <c r="O977" s="103" t="s">
        <v>33</v>
      </c>
      <c r="P977" s="99">
        <f>(C977+(E977*F977*H977))-N977</f>
        <v>8000</v>
      </c>
      <c r="Q977" s="103" t="s">
        <v>33</v>
      </c>
      <c r="R977" s="104">
        <f>P977*(J977-(J977*L977)-((J977-(J977*L977))*M977))</f>
        <v>6972000</v>
      </c>
      <c r="S977" s="104">
        <f t="shared" si="342"/>
        <v>6281081.0810810803</v>
      </c>
    </row>
    <row r="978" spans="1:19" s="19" customFormat="1">
      <c r="A978" s="56" t="s">
        <v>595</v>
      </c>
      <c r="B978" s="19" t="s">
        <v>25</v>
      </c>
      <c r="C978" s="20">
        <v>10</v>
      </c>
      <c r="D978" s="21" t="s">
        <v>99</v>
      </c>
      <c r="E978" s="26">
        <v>19</v>
      </c>
      <c r="F978" s="22">
        <v>1</v>
      </c>
      <c r="G978" s="23" t="s">
        <v>20</v>
      </c>
      <c r="H978" s="22">
        <v>20</v>
      </c>
      <c r="I978" s="23" t="s">
        <v>99</v>
      </c>
      <c r="J978" s="24">
        <f>840000/20</f>
        <v>42000</v>
      </c>
      <c r="K978" s="21" t="s">
        <v>99</v>
      </c>
      <c r="L978" s="25"/>
      <c r="M978" s="25">
        <v>0.17</v>
      </c>
      <c r="N978" s="22"/>
      <c r="O978" s="23" t="s">
        <v>99</v>
      </c>
      <c r="P978" s="20">
        <f>(C978+(E978*F978*H978))-N978</f>
        <v>390</v>
      </c>
      <c r="Q978" s="23" t="s">
        <v>99</v>
      </c>
      <c r="R978" s="24">
        <f>P978*(J978-(J978*L978)-((J978-(J978*L978))*M978))</f>
        <v>13595400</v>
      </c>
      <c r="S978" s="24">
        <f t="shared" si="342"/>
        <v>12248108.108108107</v>
      </c>
    </row>
    <row r="979" spans="1:19" s="17" customFormat="1">
      <c r="A979" s="18" t="s">
        <v>596</v>
      </c>
      <c r="B979" s="17" t="s">
        <v>25</v>
      </c>
      <c r="C979" s="60">
        <v>75</v>
      </c>
      <c r="D979" s="61" t="s">
        <v>99</v>
      </c>
      <c r="E979" s="41"/>
      <c r="F979" s="62">
        <v>1</v>
      </c>
      <c r="G979" s="63" t="s">
        <v>20</v>
      </c>
      <c r="H979" s="62">
        <v>15</v>
      </c>
      <c r="I979" s="63" t="s">
        <v>99</v>
      </c>
      <c r="J979" s="64">
        <f>525000/15</f>
        <v>35000</v>
      </c>
      <c r="K979" s="61" t="s">
        <v>99</v>
      </c>
      <c r="L979" s="65"/>
      <c r="M979" s="65">
        <v>0.17</v>
      </c>
      <c r="N979" s="62"/>
      <c r="O979" s="63" t="s">
        <v>99</v>
      </c>
      <c r="P979" s="60">
        <f>(C979+(E979*F979*H979))-N979</f>
        <v>75</v>
      </c>
      <c r="Q979" s="63" t="s">
        <v>99</v>
      </c>
      <c r="R979" s="64">
        <f>P979*(J979-(J979*L979)-((J979-(J979*L979))*M979))</f>
        <v>2178750</v>
      </c>
      <c r="S979" s="64">
        <f t="shared" si="342"/>
        <v>1962837.8378378376</v>
      </c>
    </row>
    <row r="980" spans="1:19" s="17" customFormat="1">
      <c r="A980" s="18"/>
      <c r="C980" s="60"/>
      <c r="D980" s="61"/>
      <c r="E980" s="41"/>
      <c r="F980" s="62"/>
      <c r="G980" s="63"/>
      <c r="H980" s="62"/>
      <c r="I980" s="63"/>
      <c r="J980" s="64"/>
      <c r="K980" s="61"/>
      <c r="L980" s="65"/>
      <c r="M980" s="65"/>
      <c r="N980" s="62"/>
      <c r="O980" s="63"/>
      <c r="P980" s="60"/>
      <c r="Q980" s="63"/>
      <c r="R980" s="64"/>
      <c r="S980" s="64"/>
    </row>
    <row r="981" spans="1:19" s="19" customFormat="1">
      <c r="A981" s="56" t="s">
        <v>804</v>
      </c>
      <c r="B981" s="19" t="s">
        <v>598</v>
      </c>
      <c r="C981" s="20">
        <v>900</v>
      </c>
      <c r="D981" s="21" t="s">
        <v>33</v>
      </c>
      <c r="E981" s="26">
        <v>3</v>
      </c>
      <c r="F981" s="22">
        <v>1</v>
      </c>
      <c r="G981" s="23" t="s">
        <v>20</v>
      </c>
      <c r="H981" s="22">
        <v>500</v>
      </c>
      <c r="I981" s="23" t="s">
        <v>33</v>
      </c>
      <c r="J981" s="24">
        <v>3000</v>
      </c>
      <c r="K981" s="21" t="s">
        <v>33</v>
      </c>
      <c r="L981" s="25">
        <v>0.17499999999999999</v>
      </c>
      <c r="M981" s="25"/>
      <c r="N981" s="22"/>
      <c r="O981" s="23" t="s">
        <v>33</v>
      </c>
      <c r="P981" s="20">
        <f>(C981+(E981*F981*H981))-N981</f>
        <v>2400</v>
      </c>
      <c r="Q981" s="23" t="s">
        <v>33</v>
      </c>
      <c r="R981" s="24">
        <f>P981*(J981-(J981*L981)-((J981-(J981*L981))*M981))</f>
        <v>5940000</v>
      </c>
      <c r="S981" s="8">
        <f t="shared" ref="S981" si="343">R981/1.11</f>
        <v>5351351.3513513505</v>
      </c>
    </row>
    <row r="982" spans="1:19" s="19" customFormat="1">
      <c r="A982" s="56" t="s">
        <v>597</v>
      </c>
      <c r="B982" s="19" t="s">
        <v>598</v>
      </c>
      <c r="C982" s="20">
        <v>991</v>
      </c>
      <c r="D982" s="21" t="s">
        <v>33</v>
      </c>
      <c r="E982" s="26"/>
      <c r="F982" s="22">
        <v>1</v>
      </c>
      <c r="G982" s="23" t="s">
        <v>20</v>
      </c>
      <c r="H982" s="22">
        <v>200</v>
      </c>
      <c r="I982" s="23" t="s">
        <v>33</v>
      </c>
      <c r="J982" s="24">
        <v>11500</v>
      </c>
      <c r="K982" s="21" t="s">
        <v>33</v>
      </c>
      <c r="L982" s="25">
        <v>0.17499999999999999</v>
      </c>
      <c r="M982" s="25"/>
      <c r="N982" s="22"/>
      <c r="O982" s="23" t="s">
        <v>33</v>
      </c>
      <c r="P982" s="20">
        <f>(C982+(E982*F982*H982))-N982</f>
        <v>991</v>
      </c>
      <c r="Q982" s="23" t="s">
        <v>33</v>
      </c>
      <c r="R982" s="24">
        <f>P982*(J982-(J982*L982)-((J982-(J982*L982))*M982))</f>
        <v>9402112.5</v>
      </c>
      <c r="S982" s="8">
        <f t="shared" si="342"/>
        <v>8470371.6216216218</v>
      </c>
    </row>
    <row r="983" spans="1:19" s="19" customFormat="1">
      <c r="A983" s="56" t="s">
        <v>662</v>
      </c>
      <c r="B983" s="19" t="s">
        <v>598</v>
      </c>
      <c r="C983" s="20">
        <v>340</v>
      </c>
      <c r="D983" s="21" t="s">
        <v>33</v>
      </c>
      <c r="E983" s="26"/>
      <c r="F983" s="22">
        <v>1</v>
      </c>
      <c r="G983" s="23" t="s">
        <v>20</v>
      </c>
      <c r="H983" s="22">
        <v>200</v>
      </c>
      <c r="I983" s="23" t="s">
        <v>33</v>
      </c>
      <c r="J983" s="24">
        <v>13800</v>
      </c>
      <c r="K983" s="21" t="s">
        <v>33</v>
      </c>
      <c r="L983" s="25">
        <v>0.17499999999999999</v>
      </c>
      <c r="M983" s="25">
        <v>0.03</v>
      </c>
      <c r="N983" s="22"/>
      <c r="O983" s="23" t="s">
        <v>33</v>
      </c>
      <c r="P983" s="20">
        <f>(C983+(E983*F983*H983))-N983</f>
        <v>340</v>
      </c>
      <c r="Q983" s="23" t="s">
        <v>33</v>
      </c>
      <c r="R983" s="24">
        <f>P983*(J983-(J983*L983)-((J983-(J983*L983))*M983))</f>
        <v>3754773.0000000005</v>
      </c>
      <c r="S983" s="8">
        <f t="shared" si="342"/>
        <v>3382678.3783783787</v>
      </c>
    </row>
    <row r="984" spans="1:19">
      <c r="A984" s="59"/>
      <c r="B984" s="19"/>
      <c r="O984" s="67"/>
    </row>
    <row r="985" spans="1:19">
      <c r="A985" s="15" t="s">
        <v>738</v>
      </c>
    </row>
    <row r="986" spans="1:19" s="89" customFormat="1">
      <c r="A986" s="88" t="s">
        <v>739</v>
      </c>
      <c r="B986" s="89" t="s">
        <v>584</v>
      </c>
      <c r="C986" s="87"/>
      <c r="D986" s="90" t="s">
        <v>40</v>
      </c>
      <c r="E986" s="91"/>
      <c r="F986" s="92">
        <v>1</v>
      </c>
      <c r="G986" s="93" t="s">
        <v>20</v>
      </c>
      <c r="H986" s="92">
        <v>30</v>
      </c>
      <c r="I986" s="93" t="s">
        <v>40</v>
      </c>
      <c r="J986" s="94">
        <v>102000</v>
      </c>
      <c r="K986" s="90" t="s">
        <v>40</v>
      </c>
      <c r="L986" s="95">
        <v>0.17499999999999999</v>
      </c>
      <c r="M986" s="95">
        <v>0.03</v>
      </c>
      <c r="N986" s="92"/>
      <c r="O986" s="93" t="s">
        <v>40</v>
      </c>
      <c r="P986" s="87">
        <f>(C986+(E986*F986*H986))-N986</f>
        <v>0</v>
      </c>
      <c r="Q986" s="93" t="s">
        <v>40</v>
      </c>
      <c r="R986" s="94">
        <f>P986*(J986-(J986*L986)-((J986-(J986*L986))*M986))</f>
        <v>0</v>
      </c>
      <c r="S986" s="94">
        <f t="shared" ref="S986" si="344">R986/1.11</f>
        <v>0</v>
      </c>
    </row>
    <row r="988" spans="1:19" ht="15.75">
      <c r="A988" s="14" t="s">
        <v>599</v>
      </c>
    </row>
    <row r="989" spans="1:19">
      <c r="A989" s="49" t="s">
        <v>600</v>
      </c>
      <c r="B989" s="2" t="s">
        <v>172</v>
      </c>
      <c r="C989" s="3">
        <v>383</v>
      </c>
      <c r="D989" s="4" t="s">
        <v>99</v>
      </c>
      <c r="F989" s="6">
        <v>1</v>
      </c>
      <c r="G989" s="7" t="s">
        <v>20</v>
      </c>
      <c r="H989" s="6">
        <v>60</v>
      </c>
      <c r="I989" s="7" t="s">
        <v>99</v>
      </c>
      <c r="J989" s="8">
        <v>8600</v>
      </c>
      <c r="K989" s="4" t="s">
        <v>99</v>
      </c>
      <c r="L989" s="9">
        <v>0.05</v>
      </c>
      <c r="O989" s="7" t="s">
        <v>99</v>
      </c>
      <c r="P989" s="3">
        <f>(C989+(E989*F989*H989))-N989</f>
        <v>383</v>
      </c>
      <c r="Q989" s="7" t="s">
        <v>99</v>
      </c>
      <c r="R989" s="8">
        <f>P989*(J989-(J989*L989)-((J989-(J989*L989))*M989))</f>
        <v>3129110</v>
      </c>
      <c r="S989" s="8">
        <f t="shared" si="342"/>
        <v>2819018.018018018</v>
      </c>
    </row>
    <row r="990" spans="1:19">
      <c r="A990" s="49"/>
    </row>
    <row r="991" spans="1:19" s="96" customFormat="1">
      <c r="A991" s="180" t="s">
        <v>910</v>
      </c>
      <c r="B991" s="96" t="s">
        <v>18</v>
      </c>
      <c r="C991" s="99"/>
      <c r="D991" s="100" t="s">
        <v>33</v>
      </c>
      <c r="E991" s="101">
        <v>1</v>
      </c>
      <c r="F991" s="102">
        <v>1</v>
      </c>
      <c r="G991" s="103" t="s">
        <v>20</v>
      </c>
      <c r="H991" s="102">
        <v>50</v>
      </c>
      <c r="I991" s="103" t="s">
        <v>33</v>
      </c>
      <c r="J991" s="104">
        <v>44800</v>
      </c>
      <c r="K991" s="100" t="s">
        <v>33</v>
      </c>
      <c r="L991" s="105">
        <v>0.125</v>
      </c>
      <c r="M991" s="105">
        <v>0.05</v>
      </c>
      <c r="N991" s="102"/>
      <c r="O991" s="103" t="s">
        <v>33</v>
      </c>
      <c r="P991" s="99">
        <f t="shared" ref="P991" si="345">(C991+(E991*F991*H991))-N991</f>
        <v>50</v>
      </c>
      <c r="Q991" s="103" t="s">
        <v>33</v>
      </c>
      <c r="R991" s="104">
        <f t="shared" ref="R991" si="346">P991*(J991-(J991*L991)-((J991-(J991*L991))*M991))</f>
        <v>1862000</v>
      </c>
      <c r="S991" s="104">
        <f>R991/1.11</f>
        <v>1677477.4774774774</v>
      </c>
    </row>
    <row r="992" spans="1:19" s="80" customFormat="1">
      <c r="A992" s="145" t="s">
        <v>605</v>
      </c>
      <c r="B992" s="80" t="s">
        <v>18</v>
      </c>
      <c r="C992" s="81"/>
      <c r="D992" s="82" t="s">
        <v>33</v>
      </c>
      <c r="E992" s="83">
        <v>2</v>
      </c>
      <c r="F992" s="84">
        <v>1</v>
      </c>
      <c r="G992" s="85" t="s">
        <v>20</v>
      </c>
      <c r="H992" s="84">
        <v>50</v>
      </c>
      <c r="I992" s="85" t="s">
        <v>33</v>
      </c>
      <c r="J992" s="16">
        <v>32300</v>
      </c>
      <c r="K992" s="82" t="s">
        <v>33</v>
      </c>
      <c r="L992" s="86">
        <v>0.125</v>
      </c>
      <c r="M992" s="86">
        <v>0.05</v>
      </c>
      <c r="N992" s="84"/>
      <c r="O992" s="85" t="s">
        <v>33</v>
      </c>
      <c r="P992" s="81">
        <f t="shared" ref="P992:P1003" si="347">(C992+(E992*F992*H992))-N992</f>
        <v>100</v>
      </c>
      <c r="Q992" s="85" t="s">
        <v>33</v>
      </c>
      <c r="R992" s="16">
        <f t="shared" ref="R992:R1003" si="348">P992*(J992-(J992*L992)-((J992-(J992*L992))*M992))</f>
        <v>2684937.5</v>
      </c>
      <c r="S992" s="16">
        <f>R992/1.11</f>
        <v>2418862.6126126125</v>
      </c>
    </row>
    <row r="993" spans="1:19" s="80" customFormat="1">
      <c r="A993" s="145" t="s">
        <v>606</v>
      </c>
      <c r="B993" s="80" t="s">
        <v>18</v>
      </c>
      <c r="C993" s="81"/>
      <c r="D993" s="82" t="s">
        <v>33</v>
      </c>
      <c r="E993" s="83"/>
      <c r="F993" s="84">
        <v>1</v>
      </c>
      <c r="G993" s="85" t="s">
        <v>20</v>
      </c>
      <c r="H993" s="84">
        <v>50</v>
      </c>
      <c r="I993" s="85" t="s">
        <v>33</v>
      </c>
      <c r="J993" s="16">
        <v>12000</v>
      </c>
      <c r="K993" s="82" t="s">
        <v>33</v>
      </c>
      <c r="L993" s="86">
        <v>0.125</v>
      </c>
      <c r="M993" s="86">
        <v>0.05</v>
      </c>
      <c r="N993" s="84"/>
      <c r="O993" s="85" t="s">
        <v>33</v>
      </c>
      <c r="P993" s="81">
        <f t="shared" si="347"/>
        <v>0</v>
      </c>
      <c r="Q993" s="85" t="s">
        <v>33</v>
      </c>
      <c r="R993" s="16">
        <f t="shared" si="348"/>
        <v>0</v>
      </c>
      <c r="S993" s="16">
        <f>R993/1.11</f>
        <v>0</v>
      </c>
    </row>
    <row r="994" spans="1:19">
      <c r="A994" s="49" t="s">
        <v>724</v>
      </c>
      <c r="B994" s="2" t="s">
        <v>18</v>
      </c>
      <c r="C994" s="3">
        <v>100</v>
      </c>
      <c r="D994" s="4" t="s">
        <v>33</v>
      </c>
      <c r="F994" s="6">
        <v>1</v>
      </c>
      <c r="G994" s="7" t="s">
        <v>20</v>
      </c>
      <c r="H994" s="6">
        <v>50</v>
      </c>
      <c r="I994" s="7" t="s">
        <v>33</v>
      </c>
      <c r="J994" s="8">
        <v>29100</v>
      </c>
      <c r="K994" s="4" t="s">
        <v>33</v>
      </c>
      <c r="L994" s="9">
        <v>0.125</v>
      </c>
      <c r="M994" s="9">
        <v>0.05</v>
      </c>
      <c r="O994" s="7" t="s">
        <v>33</v>
      </c>
      <c r="P994" s="3">
        <f t="shared" si="347"/>
        <v>100</v>
      </c>
      <c r="Q994" s="7" t="s">
        <v>33</v>
      </c>
      <c r="R994" s="8">
        <f t="shared" si="348"/>
        <v>2418937.5</v>
      </c>
      <c r="S994" s="8">
        <f>R994/1.11</f>
        <v>2179222.9729729728</v>
      </c>
    </row>
    <row r="995" spans="1:19" s="80" customFormat="1">
      <c r="A995" s="145" t="s">
        <v>607</v>
      </c>
      <c r="B995" s="80" t="s">
        <v>18</v>
      </c>
      <c r="C995" s="81"/>
      <c r="D995" s="82" t="s">
        <v>33</v>
      </c>
      <c r="E995" s="83"/>
      <c r="F995" s="84">
        <v>1</v>
      </c>
      <c r="G995" s="85" t="s">
        <v>20</v>
      </c>
      <c r="H995" s="84">
        <v>50</v>
      </c>
      <c r="I995" s="85" t="s">
        <v>33</v>
      </c>
      <c r="J995" s="16">
        <v>36200</v>
      </c>
      <c r="K995" s="82" t="s">
        <v>33</v>
      </c>
      <c r="L995" s="86">
        <v>0.125</v>
      </c>
      <c r="M995" s="86">
        <v>0.05</v>
      </c>
      <c r="N995" s="84"/>
      <c r="O995" s="85" t="s">
        <v>33</v>
      </c>
      <c r="P995" s="81">
        <f t="shared" si="347"/>
        <v>0</v>
      </c>
      <c r="Q995" s="85" t="s">
        <v>33</v>
      </c>
      <c r="R995" s="16">
        <f t="shared" si="348"/>
        <v>0</v>
      </c>
      <c r="S995" s="16">
        <f>R995/1.11</f>
        <v>0</v>
      </c>
    </row>
    <row r="996" spans="1:19" s="19" customFormat="1">
      <c r="A996" s="49" t="s">
        <v>601</v>
      </c>
      <c r="B996" s="19" t="s">
        <v>18</v>
      </c>
      <c r="C996" s="20">
        <v>93</v>
      </c>
      <c r="D996" s="21" t="s">
        <v>33</v>
      </c>
      <c r="E996" s="26">
        <v>58</v>
      </c>
      <c r="F996" s="22">
        <v>1</v>
      </c>
      <c r="G996" s="23" t="s">
        <v>20</v>
      </c>
      <c r="H996" s="22">
        <v>50</v>
      </c>
      <c r="I996" s="23" t="s">
        <v>33</v>
      </c>
      <c r="J996" s="24">
        <v>34100</v>
      </c>
      <c r="K996" s="21" t="s">
        <v>33</v>
      </c>
      <c r="L996" s="25">
        <v>0.125</v>
      </c>
      <c r="M996" s="25">
        <v>0.05</v>
      </c>
      <c r="N996" s="22"/>
      <c r="O996" s="23" t="s">
        <v>33</v>
      </c>
      <c r="P996" s="20">
        <f t="shared" si="347"/>
        <v>2993</v>
      </c>
      <c r="Q996" s="23" t="s">
        <v>33</v>
      </c>
      <c r="R996" s="24">
        <f t="shared" si="348"/>
        <v>84838455.625</v>
      </c>
      <c r="S996" s="8">
        <f t="shared" si="342"/>
        <v>76431041.103603601</v>
      </c>
    </row>
    <row r="997" spans="1:19" s="19" customFormat="1">
      <c r="A997" s="18" t="s">
        <v>602</v>
      </c>
      <c r="B997" s="19" t="s">
        <v>18</v>
      </c>
      <c r="C997" s="20">
        <v>100</v>
      </c>
      <c r="D997" s="21" t="s">
        <v>33</v>
      </c>
      <c r="E997" s="26">
        <v>20</v>
      </c>
      <c r="F997" s="22">
        <v>1</v>
      </c>
      <c r="G997" s="23" t="s">
        <v>20</v>
      </c>
      <c r="H997" s="22">
        <v>50</v>
      </c>
      <c r="I997" s="23" t="s">
        <v>33</v>
      </c>
      <c r="J997" s="24">
        <v>34100</v>
      </c>
      <c r="K997" s="21" t="s">
        <v>33</v>
      </c>
      <c r="L997" s="25">
        <v>0.125</v>
      </c>
      <c r="M997" s="25">
        <v>0.05</v>
      </c>
      <c r="N997" s="22"/>
      <c r="O997" s="23" t="s">
        <v>33</v>
      </c>
      <c r="P997" s="20">
        <f t="shared" si="347"/>
        <v>1100</v>
      </c>
      <c r="Q997" s="23" t="s">
        <v>33</v>
      </c>
      <c r="R997" s="24">
        <f t="shared" si="348"/>
        <v>31180187.5</v>
      </c>
      <c r="S997" s="24">
        <f t="shared" si="342"/>
        <v>28090259.009009007</v>
      </c>
    </row>
    <row r="998" spans="1:19" s="19" customFormat="1">
      <c r="A998" s="18" t="s">
        <v>603</v>
      </c>
      <c r="B998" s="19" t="s">
        <v>18</v>
      </c>
      <c r="C998" s="20">
        <v>13</v>
      </c>
      <c r="D998" s="21" t="s">
        <v>33</v>
      </c>
      <c r="E998" s="26">
        <v>8</v>
      </c>
      <c r="F998" s="22">
        <v>1</v>
      </c>
      <c r="G998" s="23" t="s">
        <v>20</v>
      </c>
      <c r="H998" s="22">
        <v>50</v>
      </c>
      <c r="I998" s="23" t="s">
        <v>33</v>
      </c>
      <c r="J998" s="24">
        <v>32000</v>
      </c>
      <c r="K998" s="21" t="s">
        <v>33</v>
      </c>
      <c r="L998" s="25">
        <v>0.125</v>
      </c>
      <c r="M998" s="25">
        <v>0.05</v>
      </c>
      <c r="N998" s="22"/>
      <c r="O998" s="23" t="s">
        <v>33</v>
      </c>
      <c r="P998" s="20">
        <f t="shared" si="347"/>
        <v>413</v>
      </c>
      <c r="Q998" s="23" t="s">
        <v>33</v>
      </c>
      <c r="R998" s="24">
        <f t="shared" si="348"/>
        <v>10985800</v>
      </c>
      <c r="S998" s="24">
        <f t="shared" si="342"/>
        <v>9897117.1171171162</v>
      </c>
    </row>
    <row r="999" spans="1:19" s="106" customFormat="1">
      <c r="A999" s="162" t="s">
        <v>604</v>
      </c>
      <c r="B999" s="106" t="s">
        <v>18</v>
      </c>
      <c r="C999" s="107"/>
      <c r="D999" s="108" t="s">
        <v>33</v>
      </c>
      <c r="E999" s="109">
        <v>30</v>
      </c>
      <c r="F999" s="110">
        <v>1</v>
      </c>
      <c r="G999" s="111" t="s">
        <v>20</v>
      </c>
      <c r="H999" s="110">
        <v>50</v>
      </c>
      <c r="I999" s="111" t="s">
        <v>33</v>
      </c>
      <c r="J999" s="112">
        <v>32000</v>
      </c>
      <c r="K999" s="108" t="s">
        <v>33</v>
      </c>
      <c r="L999" s="113">
        <v>0.125</v>
      </c>
      <c r="M999" s="113">
        <v>0.05</v>
      </c>
      <c r="N999" s="110"/>
      <c r="O999" s="111" t="s">
        <v>33</v>
      </c>
      <c r="P999" s="107">
        <f t="shared" si="347"/>
        <v>1500</v>
      </c>
      <c r="Q999" s="111" t="s">
        <v>33</v>
      </c>
      <c r="R999" s="112">
        <f t="shared" si="348"/>
        <v>39900000</v>
      </c>
      <c r="S999" s="104">
        <f t="shared" si="342"/>
        <v>35945945.945945941</v>
      </c>
    </row>
    <row r="1000" spans="1:19" s="19" customFormat="1">
      <c r="A1000" s="49" t="s">
        <v>608</v>
      </c>
      <c r="B1000" s="19" t="s">
        <v>18</v>
      </c>
      <c r="C1000" s="20">
        <v>617</v>
      </c>
      <c r="D1000" s="21" t="s">
        <v>33</v>
      </c>
      <c r="E1000" s="26">
        <v>66</v>
      </c>
      <c r="F1000" s="22">
        <v>1</v>
      </c>
      <c r="G1000" s="23" t="s">
        <v>20</v>
      </c>
      <c r="H1000" s="22">
        <v>50</v>
      </c>
      <c r="I1000" s="23" t="s">
        <v>33</v>
      </c>
      <c r="J1000" s="24">
        <v>28300</v>
      </c>
      <c r="K1000" s="21" t="s">
        <v>33</v>
      </c>
      <c r="L1000" s="25">
        <v>0.125</v>
      </c>
      <c r="M1000" s="25">
        <v>0.05</v>
      </c>
      <c r="N1000" s="22"/>
      <c r="O1000" s="23" t="s">
        <v>33</v>
      </c>
      <c r="P1000" s="20">
        <f t="shared" si="347"/>
        <v>3917</v>
      </c>
      <c r="Q1000" s="23" t="s">
        <v>33</v>
      </c>
      <c r="R1000" s="24">
        <f t="shared" si="348"/>
        <v>92144976.875</v>
      </c>
      <c r="S1000" s="24">
        <f t="shared" si="342"/>
        <v>83013492.680180177</v>
      </c>
    </row>
    <row r="1001" spans="1:19" s="19" customFormat="1">
      <c r="A1001" s="49" t="s">
        <v>609</v>
      </c>
      <c r="B1001" s="19" t="s">
        <v>18</v>
      </c>
      <c r="C1001" s="20">
        <v>50</v>
      </c>
      <c r="D1001" s="21" t="s">
        <v>33</v>
      </c>
      <c r="E1001" s="26">
        <v>22</v>
      </c>
      <c r="F1001" s="22">
        <v>1</v>
      </c>
      <c r="G1001" s="23" t="s">
        <v>20</v>
      </c>
      <c r="H1001" s="22">
        <v>50</v>
      </c>
      <c r="I1001" s="23" t="s">
        <v>33</v>
      </c>
      <c r="J1001" s="24">
        <v>28300</v>
      </c>
      <c r="K1001" s="21" t="s">
        <v>33</v>
      </c>
      <c r="L1001" s="25">
        <v>0.125</v>
      </c>
      <c r="M1001" s="25">
        <v>0.05</v>
      </c>
      <c r="N1001" s="22"/>
      <c r="O1001" s="23" t="s">
        <v>33</v>
      </c>
      <c r="P1001" s="20">
        <f t="shared" si="347"/>
        <v>1150</v>
      </c>
      <c r="Q1001" s="23" t="s">
        <v>33</v>
      </c>
      <c r="R1001" s="24">
        <f t="shared" si="348"/>
        <v>27053031.25</v>
      </c>
      <c r="S1001" s="24">
        <f t="shared" si="342"/>
        <v>24372100.225225221</v>
      </c>
    </row>
    <row r="1002" spans="1:19" s="96" customFormat="1">
      <c r="A1002" s="162" t="s">
        <v>610</v>
      </c>
      <c r="B1002" s="96" t="s">
        <v>18</v>
      </c>
      <c r="C1002" s="99"/>
      <c r="D1002" s="100" t="s">
        <v>33</v>
      </c>
      <c r="E1002" s="101">
        <v>5</v>
      </c>
      <c r="F1002" s="102">
        <v>1</v>
      </c>
      <c r="G1002" s="103" t="s">
        <v>20</v>
      </c>
      <c r="H1002" s="102">
        <v>50</v>
      </c>
      <c r="I1002" s="103" t="s">
        <v>33</v>
      </c>
      <c r="J1002" s="104">
        <v>28600</v>
      </c>
      <c r="K1002" s="100" t="s">
        <v>33</v>
      </c>
      <c r="L1002" s="105">
        <v>0.125</v>
      </c>
      <c r="M1002" s="105">
        <v>0.05</v>
      </c>
      <c r="N1002" s="102"/>
      <c r="O1002" s="103" t="s">
        <v>33</v>
      </c>
      <c r="P1002" s="99">
        <f t="shared" ref="P1002" si="349">(C1002+(E1002*F1002*H1002))-N1002</f>
        <v>250</v>
      </c>
      <c r="Q1002" s="103" t="s">
        <v>33</v>
      </c>
      <c r="R1002" s="104">
        <f t="shared" ref="R1002" si="350">P1002*(J1002-(J1002*L1002)-((J1002-(J1002*L1002))*M1002))</f>
        <v>5943437.5</v>
      </c>
      <c r="S1002" s="104">
        <f t="shared" ref="S1002" si="351">R1002/1.11</f>
        <v>5354448.1981981974</v>
      </c>
    </row>
    <row r="1003" spans="1:19" s="80" customFormat="1">
      <c r="A1003" s="145" t="s">
        <v>610</v>
      </c>
      <c r="B1003" s="80" t="s">
        <v>18</v>
      </c>
      <c r="C1003" s="81"/>
      <c r="D1003" s="82" t="s">
        <v>33</v>
      </c>
      <c r="E1003" s="83"/>
      <c r="F1003" s="84">
        <v>1</v>
      </c>
      <c r="G1003" s="85" t="s">
        <v>20</v>
      </c>
      <c r="H1003" s="84">
        <v>50</v>
      </c>
      <c r="I1003" s="85" t="s">
        <v>33</v>
      </c>
      <c r="J1003" s="16">
        <v>26500</v>
      </c>
      <c r="K1003" s="82" t="s">
        <v>33</v>
      </c>
      <c r="L1003" s="86">
        <v>0.125</v>
      </c>
      <c r="M1003" s="86">
        <v>0.05</v>
      </c>
      <c r="N1003" s="84"/>
      <c r="O1003" s="85" t="s">
        <v>33</v>
      </c>
      <c r="P1003" s="81">
        <f t="shared" si="347"/>
        <v>0</v>
      </c>
      <c r="Q1003" s="85" t="s">
        <v>33</v>
      </c>
      <c r="R1003" s="16">
        <f t="shared" si="348"/>
        <v>0</v>
      </c>
      <c r="S1003" s="16">
        <f t="shared" si="342"/>
        <v>0</v>
      </c>
    </row>
    <row r="1004" spans="1:19">
      <c r="A1004" s="49"/>
    </row>
    <row r="1005" spans="1:19" s="19" customFormat="1">
      <c r="A1005" s="55" t="s">
        <v>611</v>
      </c>
      <c r="B1005" s="19" t="s">
        <v>25</v>
      </c>
      <c r="C1005" s="20">
        <v>101</v>
      </c>
      <c r="D1005" s="21" t="s">
        <v>33</v>
      </c>
      <c r="E1005" s="26">
        <v>9</v>
      </c>
      <c r="F1005" s="22">
        <v>1</v>
      </c>
      <c r="G1005" s="23" t="s">
        <v>20</v>
      </c>
      <c r="H1005" s="22">
        <v>50</v>
      </c>
      <c r="I1005" s="23" t="s">
        <v>33</v>
      </c>
      <c r="J1005" s="24">
        <f>1500000/50</f>
        <v>30000</v>
      </c>
      <c r="K1005" s="21" t="s">
        <v>33</v>
      </c>
      <c r="L1005" s="25"/>
      <c r="M1005" s="25">
        <v>0.17</v>
      </c>
      <c r="N1005" s="22"/>
      <c r="O1005" s="23" t="s">
        <v>33</v>
      </c>
      <c r="P1005" s="20">
        <f t="shared" ref="P1005:P1010" si="352">(C1005+(E1005*F1005*H1005))-N1005</f>
        <v>551</v>
      </c>
      <c r="Q1005" s="23" t="s">
        <v>33</v>
      </c>
      <c r="R1005" s="24">
        <f t="shared" ref="R1005:R1010" si="353">P1005*(J1005-(J1005*L1005)-((J1005-(J1005*L1005))*M1005))</f>
        <v>13719900</v>
      </c>
      <c r="S1005" s="24">
        <f t="shared" si="342"/>
        <v>12360270.270270269</v>
      </c>
    </row>
    <row r="1006" spans="1:19" s="19" customFormat="1">
      <c r="A1006" s="55" t="s">
        <v>612</v>
      </c>
      <c r="B1006" s="19" t="s">
        <v>25</v>
      </c>
      <c r="C1006" s="20">
        <v>110</v>
      </c>
      <c r="D1006" s="21" t="s">
        <v>33</v>
      </c>
      <c r="E1006" s="26">
        <v>5</v>
      </c>
      <c r="F1006" s="22">
        <v>1</v>
      </c>
      <c r="G1006" s="23" t="s">
        <v>20</v>
      </c>
      <c r="H1006" s="22">
        <v>50</v>
      </c>
      <c r="I1006" s="23" t="s">
        <v>33</v>
      </c>
      <c r="J1006" s="24">
        <f>1500000/50</f>
        <v>30000</v>
      </c>
      <c r="K1006" s="21" t="s">
        <v>33</v>
      </c>
      <c r="L1006" s="25"/>
      <c r="M1006" s="25">
        <v>0.17</v>
      </c>
      <c r="N1006" s="22"/>
      <c r="O1006" s="23" t="s">
        <v>33</v>
      </c>
      <c r="P1006" s="20">
        <f t="shared" si="352"/>
        <v>360</v>
      </c>
      <c r="Q1006" s="23" t="s">
        <v>33</v>
      </c>
      <c r="R1006" s="24">
        <f t="shared" si="353"/>
        <v>8964000</v>
      </c>
      <c r="S1006" s="24">
        <f t="shared" si="342"/>
        <v>8075675.6756756753</v>
      </c>
    </row>
    <row r="1007" spans="1:19" s="80" customFormat="1">
      <c r="A1007" s="145" t="s">
        <v>727</v>
      </c>
      <c r="B1007" s="80" t="s">
        <v>25</v>
      </c>
      <c r="C1007" s="87"/>
      <c r="D1007" s="82" t="s">
        <v>33</v>
      </c>
      <c r="E1007" s="83"/>
      <c r="F1007" s="84">
        <v>1</v>
      </c>
      <c r="G1007" s="85" t="s">
        <v>20</v>
      </c>
      <c r="H1007" s="84">
        <v>50</v>
      </c>
      <c r="I1007" s="85" t="s">
        <v>33</v>
      </c>
      <c r="J1007" s="16">
        <v>32400</v>
      </c>
      <c r="K1007" s="82" t="s">
        <v>33</v>
      </c>
      <c r="L1007" s="86"/>
      <c r="M1007" s="86">
        <v>0.17</v>
      </c>
      <c r="N1007" s="84"/>
      <c r="O1007" s="85" t="s">
        <v>33</v>
      </c>
      <c r="P1007" s="81">
        <f t="shared" si="352"/>
        <v>0</v>
      </c>
      <c r="Q1007" s="85" t="s">
        <v>33</v>
      </c>
      <c r="R1007" s="16">
        <f t="shared" si="353"/>
        <v>0</v>
      </c>
      <c r="S1007" s="16">
        <f t="shared" si="342"/>
        <v>0</v>
      </c>
    </row>
    <row r="1008" spans="1:19" s="80" customFormat="1">
      <c r="A1008" s="145" t="s">
        <v>613</v>
      </c>
      <c r="B1008" s="80" t="s">
        <v>25</v>
      </c>
      <c r="C1008" s="87"/>
      <c r="D1008" s="82" t="s">
        <v>33</v>
      </c>
      <c r="E1008" s="83"/>
      <c r="F1008" s="84">
        <v>1</v>
      </c>
      <c r="G1008" s="85" t="s">
        <v>20</v>
      </c>
      <c r="H1008" s="84">
        <v>50</v>
      </c>
      <c r="I1008" s="85" t="s">
        <v>33</v>
      </c>
      <c r="J1008" s="16">
        <v>28500</v>
      </c>
      <c r="K1008" s="82" t="s">
        <v>33</v>
      </c>
      <c r="L1008" s="86"/>
      <c r="M1008" s="86">
        <v>0.17</v>
      </c>
      <c r="N1008" s="84"/>
      <c r="O1008" s="85" t="s">
        <v>33</v>
      </c>
      <c r="P1008" s="81">
        <f t="shared" si="352"/>
        <v>0</v>
      </c>
      <c r="Q1008" s="85" t="s">
        <v>33</v>
      </c>
      <c r="R1008" s="16">
        <f t="shared" si="353"/>
        <v>0</v>
      </c>
      <c r="S1008" s="16">
        <f t="shared" si="342"/>
        <v>0</v>
      </c>
    </row>
    <row r="1009" spans="1:19" s="19" customFormat="1">
      <c r="A1009" s="55" t="s">
        <v>614</v>
      </c>
      <c r="B1009" s="19" t="s">
        <v>25</v>
      </c>
      <c r="C1009" s="20">
        <v>346</v>
      </c>
      <c r="D1009" s="21" t="s">
        <v>33</v>
      </c>
      <c r="E1009" s="26">
        <v>11</v>
      </c>
      <c r="F1009" s="22">
        <v>1</v>
      </c>
      <c r="G1009" s="23" t="s">
        <v>20</v>
      </c>
      <c r="H1009" s="22">
        <v>50</v>
      </c>
      <c r="I1009" s="23" t="s">
        <v>33</v>
      </c>
      <c r="J1009" s="24">
        <f>1375000/50</f>
        <v>27500</v>
      </c>
      <c r="K1009" s="21" t="s">
        <v>33</v>
      </c>
      <c r="L1009" s="25"/>
      <c r="M1009" s="25">
        <v>0.17</v>
      </c>
      <c r="N1009" s="22"/>
      <c r="O1009" s="23" t="s">
        <v>33</v>
      </c>
      <c r="P1009" s="20">
        <f t="shared" si="352"/>
        <v>896</v>
      </c>
      <c r="Q1009" s="23" t="s">
        <v>33</v>
      </c>
      <c r="R1009" s="24">
        <f t="shared" si="353"/>
        <v>20451200</v>
      </c>
      <c r="S1009" s="24">
        <f t="shared" si="342"/>
        <v>18424504.504504502</v>
      </c>
    </row>
    <row r="1010" spans="1:19" s="19" customFormat="1">
      <c r="A1010" s="55" t="s">
        <v>615</v>
      </c>
      <c r="B1010" s="19" t="s">
        <v>25</v>
      </c>
      <c r="C1010" s="20">
        <v>165</v>
      </c>
      <c r="D1010" s="21" t="s">
        <v>33</v>
      </c>
      <c r="E1010" s="26">
        <v>5</v>
      </c>
      <c r="F1010" s="22">
        <v>1</v>
      </c>
      <c r="G1010" s="23" t="s">
        <v>20</v>
      </c>
      <c r="H1010" s="22">
        <v>50</v>
      </c>
      <c r="I1010" s="23" t="s">
        <v>33</v>
      </c>
      <c r="J1010" s="24">
        <f>1375000/50</f>
        <v>27500</v>
      </c>
      <c r="K1010" s="21" t="s">
        <v>33</v>
      </c>
      <c r="L1010" s="25"/>
      <c r="M1010" s="25">
        <v>0.17</v>
      </c>
      <c r="N1010" s="22"/>
      <c r="O1010" s="23" t="s">
        <v>33</v>
      </c>
      <c r="P1010" s="20">
        <f t="shared" si="352"/>
        <v>415</v>
      </c>
      <c r="Q1010" s="23" t="s">
        <v>33</v>
      </c>
      <c r="R1010" s="24">
        <f t="shared" si="353"/>
        <v>9472375</v>
      </c>
      <c r="S1010" s="24">
        <f t="shared" si="342"/>
        <v>8533671.1711711697</v>
      </c>
    </row>
    <row r="1012" spans="1:19" ht="15.75">
      <c r="A1012" s="14" t="s">
        <v>757</v>
      </c>
    </row>
    <row r="1013" spans="1:19" s="80" customFormat="1">
      <c r="A1013" s="79" t="s">
        <v>759</v>
      </c>
      <c r="B1013" s="80" t="s">
        <v>172</v>
      </c>
      <c r="C1013" s="81"/>
      <c r="D1013" s="82" t="s">
        <v>19</v>
      </c>
      <c r="E1013" s="83"/>
      <c r="F1013" s="84">
        <v>50</v>
      </c>
      <c r="G1013" s="85" t="s">
        <v>99</v>
      </c>
      <c r="H1013" s="84">
        <v>100</v>
      </c>
      <c r="I1013" s="85" t="s">
        <v>19</v>
      </c>
      <c r="J1013" s="16">
        <f>39500/100</f>
        <v>395</v>
      </c>
      <c r="K1013" s="82" t="s">
        <v>19</v>
      </c>
      <c r="L1013" s="86">
        <v>0.05</v>
      </c>
      <c r="M1013" s="86"/>
      <c r="N1013" s="84"/>
      <c r="O1013" s="85" t="s">
        <v>19</v>
      </c>
      <c r="P1013" s="81">
        <f>(C1013+(E1013*F1013*H1013))-N1013</f>
        <v>0</v>
      </c>
      <c r="Q1013" s="85" t="s">
        <v>19</v>
      </c>
      <c r="R1013" s="16">
        <f>P1013*(J1013-(J1013*L1013)-((J1013-(J1013*L1013))*M1013))</f>
        <v>0</v>
      </c>
      <c r="S1013" s="16">
        <f t="shared" ref="S1013" si="354">R1013/1.11</f>
        <v>0</v>
      </c>
    </row>
    <row r="1015" spans="1:19" ht="15.75">
      <c r="A1015" s="14" t="s">
        <v>616</v>
      </c>
    </row>
    <row r="1016" spans="1:19">
      <c r="A1016" s="15" t="s">
        <v>617</v>
      </c>
    </row>
    <row r="1017" spans="1:19" s="89" customFormat="1">
      <c r="A1017" s="148" t="s">
        <v>618</v>
      </c>
      <c r="B1017" s="89" t="s">
        <v>182</v>
      </c>
      <c r="C1017" s="87"/>
      <c r="D1017" s="90" t="s">
        <v>278</v>
      </c>
      <c r="E1017" s="91"/>
      <c r="F1017" s="92">
        <v>1</v>
      </c>
      <c r="G1017" s="93" t="s">
        <v>20</v>
      </c>
      <c r="H1017" s="92">
        <v>720</v>
      </c>
      <c r="I1017" s="93" t="s">
        <v>278</v>
      </c>
      <c r="J1017" s="94">
        <v>3100</v>
      </c>
      <c r="K1017" s="90" t="s">
        <v>278</v>
      </c>
      <c r="L1017" s="95"/>
      <c r="M1017" s="95">
        <v>0.15</v>
      </c>
      <c r="N1017" s="92"/>
      <c r="O1017" s="93" t="s">
        <v>278</v>
      </c>
      <c r="P1017" s="87">
        <f>(C1017+(E1017*F1017*H1017))-N1017</f>
        <v>0</v>
      </c>
      <c r="Q1017" s="93" t="s">
        <v>278</v>
      </c>
      <c r="R1017" s="94">
        <f>P1017*(J1017-(J1017*L1017)-((J1017-(J1017*L1017))*M1017))</f>
        <v>0</v>
      </c>
      <c r="S1017" s="16">
        <f t="shared" si="342"/>
        <v>0</v>
      </c>
    </row>
    <row r="1018" spans="1:19" s="89" customFormat="1">
      <c r="A1018" s="148" t="s">
        <v>619</v>
      </c>
      <c r="B1018" s="89" t="s">
        <v>182</v>
      </c>
      <c r="C1018" s="87"/>
      <c r="D1018" s="90" t="s">
        <v>278</v>
      </c>
      <c r="E1018" s="91"/>
      <c r="F1018" s="92">
        <v>1</v>
      </c>
      <c r="G1018" s="93" t="s">
        <v>20</v>
      </c>
      <c r="H1018" s="92">
        <v>480</v>
      </c>
      <c r="I1018" s="93" t="s">
        <v>278</v>
      </c>
      <c r="J1018" s="94">
        <v>4750</v>
      </c>
      <c r="K1018" s="90" t="s">
        <v>278</v>
      </c>
      <c r="L1018" s="95"/>
      <c r="M1018" s="95">
        <v>0.15</v>
      </c>
      <c r="N1018" s="92"/>
      <c r="O1018" s="93" t="s">
        <v>278</v>
      </c>
      <c r="P1018" s="87">
        <f>(C1018+(E1018*F1018*H1018))-N1018</f>
        <v>0</v>
      </c>
      <c r="Q1018" s="93" t="s">
        <v>278</v>
      </c>
      <c r="R1018" s="94">
        <f>P1018*(J1018-(J1018*L1018)-((J1018-(J1018*L1018))*M1018))</f>
        <v>0</v>
      </c>
      <c r="S1018" s="16">
        <f t="shared" si="342"/>
        <v>0</v>
      </c>
    </row>
    <row r="1019" spans="1:19" s="80" customFormat="1">
      <c r="A1019" s="148" t="s">
        <v>620</v>
      </c>
      <c r="B1019" s="89" t="s">
        <v>182</v>
      </c>
      <c r="C1019" s="87"/>
      <c r="D1019" s="82" t="s">
        <v>278</v>
      </c>
      <c r="E1019" s="83"/>
      <c r="F1019" s="84">
        <v>1</v>
      </c>
      <c r="G1019" s="85" t="s">
        <v>20</v>
      </c>
      <c r="H1019" s="84">
        <v>360</v>
      </c>
      <c r="I1019" s="85" t="s">
        <v>278</v>
      </c>
      <c r="J1019" s="16">
        <v>6000</v>
      </c>
      <c r="K1019" s="82" t="s">
        <v>278</v>
      </c>
      <c r="L1019" s="86"/>
      <c r="M1019" s="86">
        <v>0.15</v>
      </c>
      <c r="N1019" s="92"/>
      <c r="O1019" s="85" t="s">
        <v>278</v>
      </c>
      <c r="P1019" s="81">
        <f>(C1019+(E1019*F1019*H1019))-N1019</f>
        <v>0</v>
      </c>
      <c r="Q1019" s="85" t="s">
        <v>278</v>
      </c>
      <c r="R1019" s="16">
        <f>P1019*(J1019-(J1019*L1019)-((J1019-(J1019*L1019))*M1019))</f>
        <v>0</v>
      </c>
      <c r="S1019" s="16">
        <f t="shared" si="342"/>
        <v>0</v>
      </c>
    </row>
    <row r="1020" spans="1:19">
      <c r="A1020" s="49"/>
      <c r="B1020" s="19"/>
      <c r="C1020" s="20"/>
      <c r="N1020" s="22"/>
    </row>
    <row r="1021" spans="1:19" s="80" customFormat="1">
      <c r="A1021" s="145" t="s">
        <v>621</v>
      </c>
      <c r="B1021" s="80" t="s">
        <v>18</v>
      </c>
      <c r="C1021" s="87"/>
      <c r="D1021" s="82" t="s">
        <v>278</v>
      </c>
      <c r="E1021" s="83"/>
      <c r="F1021" s="84">
        <v>10</v>
      </c>
      <c r="G1021" s="85" t="s">
        <v>99</v>
      </c>
      <c r="H1021" s="84">
        <v>24</v>
      </c>
      <c r="I1021" s="85" t="s">
        <v>278</v>
      </c>
      <c r="J1021" s="16">
        <v>2300</v>
      </c>
      <c r="K1021" s="82" t="s">
        <v>278</v>
      </c>
      <c r="L1021" s="86">
        <v>0.125</v>
      </c>
      <c r="M1021" s="86">
        <v>0.05</v>
      </c>
      <c r="N1021" s="84"/>
      <c r="O1021" s="85" t="s">
        <v>278</v>
      </c>
      <c r="P1021" s="81">
        <f>(C1021+(E1021*F1021*H1021))-N1021</f>
        <v>0</v>
      </c>
      <c r="Q1021" s="85" t="s">
        <v>278</v>
      </c>
      <c r="R1021" s="16">
        <f>P1021*(J1021-(J1021*L1021)-((J1021-(J1021*L1021))*M1021))</f>
        <v>0</v>
      </c>
      <c r="S1021" s="16">
        <f t="shared" si="342"/>
        <v>0</v>
      </c>
    </row>
    <row r="1022" spans="1:19" s="80" customFormat="1">
      <c r="A1022" s="145" t="s">
        <v>622</v>
      </c>
      <c r="B1022" s="80" t="s">
        <v>18</v>
      </c>
      <c r="C1022" s="87"/>
      <c r="D1022" s="82" t="s">
        <v>278</v>
      </c>
      <c r="E1022" s="83"/>
      <c r="F1022" s="84">
        <v>10</v>
      </c>
      <c r="G1022" s="85" t="s">
        <v>99</v>
      </c>
      <c r="H1022" s="84">
        <v>12</v>
      </c>
      <c r="I1022" s="85" t="s">
        <v>278</v>
      </c>
      <c r="J1022" s="16">
        <v>4600</v>
      </c>
      <c r="K1022" s="82" t="s">
        <v>278</v>
      </c>
      <c r="L1022" s="86">
        <v>0.125</v>
      </c>
      <c r="M1022" s="86">
        <v>0.05</v>
      </c>
      <c r="N1022" s="84"/>
      <c r="O1022" s="85" t="s">
        <v>278</v>
      </c>
      <c r="P1022" s="81">
        <f>(C1022+(E1022*F1022*H1022))-N1022</f>
        <v>0</v>
      </c>
      <c r="Q1022" s="85" t="s">
        <v>278</v>
      </c>
      <c r="R1022" s="16">
        <f>P1022*(J1022-(J1022*L1022)-((J1022-(J1022*L1022))*M1022))</f>
        <v>0</v>
      </c>
      <c r="S1022" s="16">
        <f t="shared" si="342"/>
        <v>0</v>
      </c>
    </row>
    <row r="1023" spans="1:19">
      <c r="A1023" s="49"/>
      <c r="C1023" s="20"/>
    </row>
    <row r="1024" spans="1:19" s="80" customFormat="1">
      <c r="A1024" s="147" t="s">
        <v>623</v>
      </c>
      <c r="B1024" s="80" t="s">
        <v>25</v>
      </c>
      <c r="C1024" s="87"/>
      <c r="D1024" s="82" t="s">
        <v>278</v>
      </c>
      <c r="E1024" s="83">
        <v>1</v>
      </c>
      <c r="F1024" s="84">
        <v>1</v>
      </c>
      <c r="G1024" s="85" t="s">
        <v>20</v>
      </c>
      <c r="H1024" s="84">
        <v>480</v>
      </c>
      <c r="I1024" s="85" t="s">
        <v>278</v>
      </c>
      <c r="J1024" s="16">
        <f>588000/480</f>
        <v>1225</v>
      </c>
      <c r="K1024" s="82" t="s">
        <v>278</v>
      </c>
      <c r="L1024" s="86"/>
      <c r="M1024" s="86">
        <v>0.17</v>
      </c>
      <c r="N1024" s="84"/>
      <c r="O1024" s="85" t="s">
        <v>278</v>
      </c>
      <c r="P1024" s="81">
        <f>(C1024+(E1024*F1024*H1024))-N1024</f>
        <v>480</v>
      </c>
      <c r="Q1024" s="85" t="s">
        <v>278</v>
      </c>
      <c r="R1024" s="16">
        <f>P1024*(J1024-(J1024*L1024)-((J1024-(J1024*L1024))*M1024))</f>
        <v>488040</v>
      </c>
      <c r="S1024" s="16">
        <f t="shared" si="342"/>
        <v>439675.67567567562</v>
      </c>
    </row>
    <row r="1025" spans="1:19" s="80" customFormat="1">
      <c r="A1025" s="147" t="s">
        <v>624</v>
      </c>
      <c r="B1025" s="80" t="s">
        <v>25</v>
      </c>
      <c r="C1025" s="87"/>
      <c r="D1025" s="82" t="s">
        <v>278</v>
      </c>
      <c r="E1025" s="83"/>
      <c r="F1025" s="84">
        <v>1</v>
      </c>
      <c r="G1025" s="85" t="s">
        <v>20</v>
      </c>
      <c r="H1025" s="84">
        <v>240</v>
      </c>
      <c r="I1025" s="85" t="s">
        <v>278</v>
      </c>
      <c r="J1025" s="16">
        <f>588000/240</f>
        <v>2450</v>
      </c>
      <c r="K1025" s="82" t="s">
        <v>278</v>
      </c>
      <c r="L1025" s="86"/>
      <c r="M1025" s="86">
        <v>0.17</v>
      </c>
      <c r="N1025" s="84"/>
      <c r="O1025" s="85" t="s">
        <v>278</v>
      </c>
      <c r="P1025" s="81">
        <f>(C1025+(E1025*F1025*H1025))-N1025</f>
        <v>0</v>
      </c>
      <c r="Q1025" s="85" t="s">
        <v>278</v>
      </c>
      <c r="R1025" s="16">
        <f>P1025*(J1025-(J1025*L1025)-((J1025-(J1025*L1025))*M1025))</f>
        <v>0</v>
      </c>
      <c r="S1025" s="16">
        <f t="shared" si="342"/>
        <v>0</v>
      </c>
    </row>
    <row r="1026" spans="1:19" s="80" customFormat="1">
      <c r="A1026" s="147" t="s">
        <v>625</v>
      </c>
      <c r="B1026" s="80" t="s">
        <v>25</v>
      </c>
      <c r="C1026" s="87"/>
      <c r="D1026" s="82" t="s">
        <v>278</v>
      </c>
      <c r="E1026" s="83"/>
      <c r="F1026" s="84">
        <v>1</v>
      </c>
      <c r="G1026" s="85" t="s">
        <v>20</v>
      </c>
      <c r="H1026" s="84">
        <v>120</v>
      </c>
      <c r="I1026" s="85" t="s">
        <v>278</v>
      </c>
      <c r="J1026" s="16">
        <v>4800</v>
      </c>
      <c r="K1026" s="82" t="s">
        <v>278</v>
      </c>
      <c r="L1026" s="86"/>
      <c r="M1026" s="86">
        <v>0.17</v>
      </c>
      <c r="N1026" s="84"/>
      <c r="O1026" s="85" t="s">
        <v>278</v>
      </c>
      <c r="P1026" s="81">
        <f>(C1026+(E1026*F1026*H1026))-N1026</f>
        <v>0</v>
      </c>
      <c r="Q1026" s="85" t="s">
        <v>278</v>
      </c>
      <c r="R1026" s="16">
        <f>P1026*(J1026-(J1026*L1026)-((J1026-(J1026*L1026))*M1026))</f>
        <v>0</v>
      </c>
      <c r="S1026" s="16">
        <f t="shared" si="342"/>
        <v>0</v>
      </c>
    </row>
    <row r="1027" spans="1:19" s="96" customFormat="1">
      <c r="A1027" s="163" t="s">
        <v>626</v>
      </c>
      <c r="B1027" s="96" t="s">
        <v>25</v>
      </c>
      <c r="C1027" s="107"/>
      <c r="D1027" s="100" t="s">
        <v>278</v>
      </c>
      <c r="E1027" s="101">
        <v>1</v>
      </c>
      <c r="F1027" s="102">
        <v>1</v>
      </c>
      <c r="G1027" s="103" t="s">
        <v>20</v>
      </c>
      <c r="H1027" s="102">
        <v>60</v>
      </c>
      <c r="I1027" s="103" t="s">
        <v>278</v>
      </c>
      <c r="J1027" s="104">
        <v>9500</v>
      </c>
      <c r="K1027" s="100" t="s">
        <v>278</v>
      </c>
      <c r="L1027" s="105"/>
      <c r="M1027" s="105">
        <v>0.17</v>
      </c>
      <c r="N1027" s="102"/>
      <c r="O1027" s="103" t="s">
        <v>278</v>
      </c>
      <c r="P1027" s="99">
        <f>(C1027+(E1027*F1027*H1027))-N1027</f>
        <v>60</v>
      </c>
      <c r="Q1027" s="103" t="s">
        <v>278</v>
      </c>
      <c r="R1027" s="104">
        <f>P1027*(J1027-(J1027*L1027)-((J1027-(J1027*L1027))*M1027))</f>
        <v>473100</v>
      </c>
      <c r="S1027" s="104">
        <f t="shared" si="342"/>
        <v>426216.21621621615</v>
      </c>
    </row>
    <row r="1029" spans="1:19">
      <c r="A1029" s="15" t="s">
        <v>788</v>
      </c>
      <c r="S1029" s="8">
        <f t="shared" ref="S1029:S1030" si="355">R1029/1.11</f>
        <v>0</v>
      </c>
    </row>
    <row r="1030" spans="1:19" s="89" customFormat="1">
      <c r="A1030" s="79" t="s">
        <v>789</v>
      </c>
      <c r="B1030" s="89" t="s">
        <v>18</v>
      </c>
      <c r="C1030" s="87"/>
      <c r="D1030" s="90" t="s">
        <v>278</v>
      </c>
      <c r="E1030" s="91"/>
      <c r="F1030" s="92">
        <v>1</v>
      </c>
      <c r="G1030" s="93" t="s">
        <v>20</v>
      </c>
      <c r="H1030" s="92">
        <v>120</v>
      </c>
      <c r="I1030" s="93" t="s">
        <v>278</v>
      </c>
      <c r="J1030" s="94">
        <v>5500</v>
      </c>
      <c r="K1030" s="90" t="s">
        <v>278</v>
      </c>
      <c r="L1030" s="95">
        <v>0.125</v>
      </c>
      <c r="M1030" s="95">
        <v>0.05</v>
      </c>
      <c r="N1030" s="92"/>
      <c r="O1030" s="93" t="s">
        <v>278</v>
      </c>
      <c r="P1030" s="87">
        <f t="shared" ref="P1030" si="356">(C1030+(E1030*F1030*H1030))-N1030</f>
        <v>0</v>
      </c>
      <c r="Q1030" s="93" t="s">
        <v>278</v>
      </c>
      <c r="R1030" s="94">
        <f t="shared" ref="R1030" si="357">P1030*(J1030-(J1030*L1030)-((J1030-(J1030*L1030))*M1030))</f>
        <v>0</v>
      </c>
      <c r="S1030" s="94">
        <f t="shared" si="355"/>
        <v>0</v>
      </c>
    </row>
    <row r="1031" spans="1:19">
      <c r="A1031" s="48"/>
    </row>
    <row r="1032" spans="1:19">
      <c r="A1032" s="15" t="s">
        <v>627</v>
      </c>
    </row>
    <row r="1033" spans="1:19" s="19" customFormat="1">
      <c r="A1033" s="31" t="s">
        <v>706</v>
      </c>
      <c r="B1033" s="32" t="s">
        <v>25</v>
      </c>
      <c r="C1033" s="33"/>
      <c r="D1033" s="34" t="s">
        <v>278</v>
      </c>
      <c r="E1033" s="35">
        <v>60</v>
      </c>
      <c r="F1033" s="36">
        <v>1</v>
      </c>
      <c r="G1033" s="37" t="s">
        <v>20</v>
      </c>
      <c r="H1033" s="36">
        <v>72</v>
      </c>
      <c r="I1033" s="37" t="s">
        <v>278</v>
      </c>
      <c r="J1033" s="38">
        <v>10000</v>
      </c>
      <c r="K1033" s="34" t="s">
        <v>278</v>
      </c>
      <c r="L1033" s="39">
        <v>0.12</v>
      </c>
      <c r="M1033" s="39">
        <v>0.17</v>
      </c>
      <c r="N1033" s="36"/>
      <c r="O1033" s="37" t="s">
        <v>278</v>
      </c>
      <c r="P1033" s="33">
        <f t="shared" ref="P1033:P1039" si="358">(C1033+(E1033*F1033*H1033))-N1033</f>
        <v>4320</v>
      </c>
      <c r="Q1033" s="37" t="s">
        <v>278</v>
      </c>
      <c r="R1033" s="38">
        <f t="shared" ref="R1033:R1039" si="359">P1033*(J1033-(J1033*L1033)-((J1033-(J1033*L1033))*M1033))</f>
        <v>31553280</v>
      </c>
      <c r="S1033" s="38">
        <f t="shared" ref="S1033" si="360">R1033/1.11</f>
        <v>28426378.378378376</v>
      </c>
    </row>
    <row r="1034" spans="1:19" s="19" customFormat="1">
      <c r="A1034" s="31" t="s">
        <v>706</v>
      </c>
      <c r="B1034" s="32" t="s">
        <v>25</v>
      </c>
      <c r="C1034" s="33">
        <v>144</v>
      </c>
      <c r="D1034" s="34" t="s">
        <v>278</v>
      </c>
      <c r="E1034" s="35"/>
      <c r="F1034" s="36">
        <v>1</v>
      </c>
      <c r="G1034" s="37" t="s">
        <v>20</v>
      </c>
      <c r="H1034" s="36">
        <v>72</v>
      </c>
      <c r="I1034" s="37" t="s">
        <v>278</v>
      </c>
      <c r="J1034" s="38">
        <f>900000/72</f>
        <v>12500</v>
      </c>
      <c r="K1034" s="34" t="s">
        <v>278</v>
      </c>
      <c r="L1034" s="39"/>
      <c r="M1034" s="39">
        <v>0.17</v>
      </c>
      <c r="N1034" s="36"/>
      <c r="O1034" s="37" t="s">
        <v>278</v>
      </c>
      <c r="P1034" s="33">
        <f t="shared" si="358"/>
        <v>144</v>
      </c>
      <c r="Q1034" s="37" t="s">
        <v>278</v>
      </c>
      <c r="R1034" s="38">
        <f t="shared" si="359"/>
        <v>1494000</v>
      </c>
      <c r="S1034" s="38">
        <f t="shared" si="342"/>
        <v>1345945.9459459458</v>
      </c>
    </row>
    <row r="1035" spans="1:19" s="96" customFormat="1">
      <c r="A1035" s="169" t="s">
        <v>628</v>
      </c>
      <c r="B1035" s="170" t="s">
        <v>25</v>
      </c>
      <c r="C1035" s="171"/>
      <c r="D1035" s="172" t="s">
        <v>278</v>
      </c>
      <c r="E1035" s="173">
        <v>40</v>
      </c>
      <c r="F1035" s="174">
        <v>1</v>
      </c>
      <c r="G1035" s="175" t="s">
        <v>20</v>
      </c>
      <c r="H1035" s="174">
        <v>72</v>
      </c>
      <c r="I1035" s="175" t="s">
        <v>278</v>
      </c>
      <c r="J1035" s="176">
        <v>10000</v>
      </c>
      <c r="K1035" s="172" t="s">
        <v>278</v>
      </c>
      <c r="L1035" s="177">
        <v>0.12</v>
      </c>
      <c r="M1035" s="177">
        <v>0.17</v>
      </c>
      <c r="N1035" s="174"/>
      <c r="O1035" s="175" t="s">
        <v>278</v>
      </c>
      <c r="P1035" s="171">
        <f t="shared" si="358"/>
        <v>2880</v>
      </c>
      <c r="Q1035" s="175" t="s">
        <v>278</v>
      </c>
      <c r="R1035" s="176">
        <f t="shared" si="359"/>
        <v>21035520</v>
      </c>
      <c r="S1035" s="176">
        <f t="shared" si="342"/>
        <v>18950918.918918919</v>
      </c>
    </row>
    <row r="1036" spans="1:19" s="96" customFormat="1">
      <c r="A1036" s="169" t="s">
        <v>628</v>
      </c>
      <c r="B1036" s="170" t="s">
        <v>25</v>
      </c>
      <c r="C1036" s="171"/>
      <c r="D1036" s="172" t="s">
        <v>278</v>
      </c>
      <c r="E1036" s="173">
        <v>6</v>
      </c>
      <c r="F1036" s="174">
        <v>1</v>
      </c>
      <c r="G1036" s="175" t="s">
        <v>20</v>
      </c>
      <c r="H1036" s="174">
        <v>72</v>
      </c>
      <c r="I1036" s="175" t="s">
        <v>278</v>
      </c>
      <c r="J1036" s="176">
        <v>10000</v>
      </c>
      <c r="K1036" s="172" t="s">
        <v>278</v>
      </c>
      <c r="L1036" s="177">
        <v>0.05</v>
      </c>
      <c r="M1036" s="177">
        <v>0.17</v>
      </c>
      <c r="N1036" s="174"/>
      <c r="O1036" s="175" t="s">
        <v>278</v>
      </c>
      <c r="P1036" s="171">
        <f t="shared" si="358"/>
        <v>432</v>
      </c>
      <c r="Q1036" s="175" t="s">
        <v>278</v>
      </c>
      <c r="R1036" s="176">
        <f t="shared" si="359"/>
        <v>3406320</v>
      </c>
      <c r="S1036" s="176">
        <f t="shared" ref="S1036" si="361">R1036/1.11</f>
        <v>3068756.7567567565</v>
      </c>
    </row>
    <row r="1037" spans="1:19" s="80" customFormat="1">
      <c r="A1037" s="79" t="s">
        <v>628</v>
      </c>
      <c r="B1037" s="80" t="s">
        <v>25</v>
      </c>
      <c r="C1037" s="81"/>
      <c r="D1037" s="82" t="s">
        <v>278</v>
      </c>
      <c r="E1037" s="83"/>
      <c r="F1037" s="84">
        <v>1</v>
      </c>
      <c r="G1037" s="85" t="s">
        <v>20</v>
      </c>
      <c r="H1037" s="84">
        <v>72</v>
      </c>
      <c r="I1037" s="85" t="s">
        <v>278</v>
      </c>
      <c r="J1037" s="94">
        <f>900000/72</f>
        <v>12500</v>
      </c>
      <c r="K1037" s="82" t="s">
        <v>278</v>
      </c>
      <c r="L1037" s="86"/>
      <c r="M1037" s="86">
        <v>0.17</v>
      </c>
      <c r="N1037" s="84"/>
      <c r="O1037" s="85" t="s">
        <v>278</v>
      </c>
      <c r="P1037" s="81">
        <f t="shared" si="358"/>
        <v>0</v>
      </c>
      <c r="Q1037" s="85" t="s">
        <v>278</v>
      </c>
      <c r="R1037" s="16">
        <f t="shared" si="359"/>
        <v>0</v>
      </c>
      <c r="S1037" s="16">
        <f t="shared" si="342"/>
        <v>0</v>
      </c>
    </row>
    <row r="1038" spans="1:19">
      <c r="A1038" s="17" t="s">
        <v>808</v>
      </c>
      <c r="B1038" s="2" t="s">
        <v>25</v>
      </c>
      <c r="C1038" s="3">
        <v>210</v>
      </c>
      <c r="D1038" s="4" t="s">
        <v>278</v>
      </c>
      <c r="F1038" s="6">
        <v>1</v>
      </c>
      <c r="G1038" s="7" t="s">
        <v>20</v>
      </c>
      <c r="H1038" s="6">
        <v>72</v>
      </c>
      <c r="I1038" s="7" t="s">
        <v>278</v>
      </c>
      <c r="J1038" s="8">
        <f>705600/72</f>
        <v>9800</v>
      </c>
      <c r="K1038" s="4" t="s">
        <v>278</v>
      </c>
      <c r="M1038" s="9">
        <v>0.17</v>
      </c>
      <c r="O1038" s="7" t="s">
        <v>278</v>
      </c>
      <c r="P1038" s="3">
        <f t="shared" si="358"/>
        <v>210</v>
      </c>
      <c r="Q1038" s="7" t="s">
        <v>278</v>
      </c>
      <c r="R1038" s="8">
        <f t="shared" si="359"/>
        <v>1708140</v>
      </c>
      <c r="S1038" s="8">
        <f t="shared" si="342"/>
        <v>1538864.8648648646</v>
      </c>
    </row>
    <row r="1039" spans="1:19">
      <c r="A1039" s="17" t="s">
        <v>809</v>
      </c>
      <c r="B1039" s="2" t="s">
        <v>25</v>
      </c>
      <c r="C1039" s="3">
        <v>36</v>
      </c>
      <c r="D1039" s="4" t="s">
        <v>278</v>
      </c>
      <c r="F1039" s="6">
        <v>1</v>
      </c>
      <c r="G1039" s="7" t="s">
        <v>20</v>
      </c>
      <c r="H1039" s="6">
        <v>72</v>
      </c>
      <c r="I1039" s="7" t="s">
        <v>278</v>
      </c>
      <c r="J1039" s="8">
        <f>705600/72</f>
        <v>9800</v>
      </c>
      <c r="K1039" s="4" t="s">
        <v>278</v>
      </c>
      <c r="M1039" s="9">
        <v>0.17</v>
      </c>
      <c r="O1039" s="7" t="s">
        <v>278</v>
      </c>
      <c r="P1039" s="3">
        <f t="shared" si="358"/>
        <v>36</v>
      </c>
      <c r="Q1039" s="7" t="s">
        <v>278</v>
      </c>
      <c r="R1039" s="8">
        <f t="shared" si="359"/>
        <v>292824</v>
      </c>
      <c r="S1039" s="8">
        <f t="shared" si="342"/>
        <v>263805.40540540538</v>
      </c>
    </row>
    <row r="1041" spans="1:19">
      <c r="A1041" s="15" t="s">
        <v>629</v>
      </c>
      <c r="S1041" s="8">
        <f t="shared" si="342"/>
        <v>0</v>
      </c>
    </row>
    <row r="1042" spans="1:19" s="19" customFormat="1">
      <c r="A1042" s="17" t="s">
        <v>786</v>
      </c>
      <c r="B1042" s="19" t="s">
        <v>18</v>
      </c>
      <c r="C1042" s="20">
        <v>120</v>
      </c>
      <c r="D1042" s="21" t="s">
        <v>278</v>
      </c>
      <c r="E1042" s="26"/>
      <c r="F1042" s="22">
        <v>1</v>
      </c>
      <c r="G1042" s="23" t="s">
        <v>20</v>
      </c>
      <c r="H1042" s="22">
        <v>120</v>
      </c>
      <c r="I1042" s="23" t="s">
        <v>278</v>
      </c>
      <c r="J1042" s="24">
        <v>13800</v>
      </c>
      <c r="K1042" s="21" t="s">
        <v>278</v>
      </c>
      <c r="L1042" s="25">
        <v>0.125</v>
      </c>
      <c r="M1042" s="25">
        <v>0.05</v>
      </c>
      <c r="N1042" s="22"/>
      <c r="O1042" s="23" t="s">
        <v>278</v>
      </c>
      <c r="P1042" s="20">
        <f t="shared" ref="P1042" si="362">(C1042+(E1042*F1042*H1042))-N1042</f>
        <v>120</v>
      </c>
      <c r="Q1042" s="23" t="s">
        <v>278</v>
      </c>
      <c r="R1042" s="24">
        <f t="shared" ref="R1042" si="363">P1042*(J1042-(J1042*L1042)-((J1042-(J1042*L1042))*M1042))</f>
        <v>1376550</v>
      </c>
      <c r="S1042" s="24">
        <f t="shared" si="342"/>
        <v>1240135.1351351349</v>
      </c>
    </row>
    <row r="1043" spans="1:19" s="19" customFormat="1">
      <c r="A1043" s="18"/>
      <c r="C1043" s="20"/>
      <c r="D1043" s="21"/>
      <c r="E1043" s="26"/>
      <c r="F1043" s="22"/>
      <c r="G1043" s="23"/>
      <c r="H1043" s="22"/>
      <c r="I1043" s="23"/>
      <c r="J1043" s="24"/>
      <c r="K1043" s="21"/>
      <c r="L1043" s="25"/>
      <c r="M1043" s="25"/>
      <c r="N1043" s="22"/>
      <c r="O1043" s="23"/>
      <c r="P1043" s="20"/>
      <c r="Q1043" s="23"/>
      <c r="R1043" s="24"/>
      <c r="S1043" s="24"/>
    </row>
    <row r="1044" spans="1:19">
      <c r="A1044" s="17" t="s">
        <v>810</v>
      </c>
      <c r="B1044" s="2" t="s">
        <v>25</v>
      </c>
      <c r="D1044" s="4" t="s">
        <v>278</v>
      </c>
      <c r="E1044" s="5">
        <v>1</v>
      </c>
      <c r="F1044" s="6">
        <v>1</v>
      </c>
      <c r="G1044" s="7" t="s">
        <v>20</v>
      </c>
      <c r="H1044" s="6">
        <v>120</v>
      </c>
      <c r="I1044" s="7" t="s">
        <v>278</v>
      </c>
      <c r="J1044" s="8">
        <f>762000/120</f>
        <v>6350</v>
      </c>
      <c r="K1044" s="4" t="s">
        <v>278</v>
      </c>
      <c r="M1044" s="9">
        <v>0.17</v>
      </c>
      <c r="O1044" s="7" t="s">
        <v>278</v>
      </c>
      <c r="P1044" s="3">
        <f>(C1044+(E1044*F1044*H1044))-N1044</f>
        <v>120</v>
      </c>
      <c r="Q1044" s="7" t="s">
        <v>278</v>
      </c>
      <c r="R1044" s="8">
        <f>P1044*(J1044-(J1044*L1044)-((J1044-(J1044*L1044))*M1044))</f>
        <v>632460</v>
      </c>
      <c r="S1044" s="8">
        <f t="shared" si="342"/>
        <v>569783.78378378379</v>
      </c>
    </row>
    <row r="1045" spans="1:19">
      <c r="A1045" s="17" t="s">
        <v>630</v>
      </c>
      <c r="B1045" s="2" t="s">
        <v>25</v>
      </c>
      <c r="D1045" s="4" t="s">
        <v>278</v>
      </c>
      <c r="E1045" s="5">
        <v>2</v>
      </c>
      <c r="F1045" s="6">
        <v>1</v>
      </c>
      <c r="G1045" s="7" t="s">
        <v>20</v>
      </c>
      <c r="H1045" s="6">
        <v>80</v>
      </c>
      <c r="I1045" s="7" t="s">
        <v>278</v>
      </c>
      <c r="J1045" s="8">
        <f>732000/80</f>
        <v>9150</v>
      </c>
      <c r="K1045" s="4" t="s">
        <v>278</v>
      </c>
      <c r="M1045" s="9">
        <v>0.17</v>
      </c>
      <c r="O1045" s="7" t="s">
        <v>278</v>
      </c>
      <c r="P1045" s="3">
        <f>(C1045+(E1045*F1045*H1045))-N1045</f>
        <v>160</v>
      </c>
      <c r="Q1045" s="7" t="s">
        <v>278</v>
      </c>
      <c r="R1045" s="8">
        <f>P1045*(J1045-(J1045*L1045)-((J1045-(J1045*L1045))*M1045))</f>
        <v>1215120</v>
      </c>
      <c r="S1045" s="8">
        <f t="shared" si="342"/>
        <v>1094702.7027027027</v>
      </c>
    </row>
    <row r="1046" spans="1:19">
      <c r="A1046" s="17" t="s">
        <v>811</v>
      </c>
      <c r="B1046" s="2" t="s">
        <v>25</v>
      </c>
      <c r="D1046" s="4" t="s">
        <v>278</v>
      </c>
      <c r="E1046" s="5">
        <v>10</v>
      </c>
      <c r="F1046" s="6">
        <v>1</v>
      </c>
      <c r="G1046" s="7" t="s">
        <v>20</v>
      </c>
      <c r="H1046" s="6">
        <v>60</v>
      </c>
      <c r="I1046" s="7" t="s">
        <v>278</v>
      </c>
      <c r="J1046" s="8">
        <f>732000/60</f>
        <v>12200</v>
      </c>
      <c r="K1046" s="4" t="s">
        <v>278</v>
      </c>
      <c r="M1046" s="9">
        <v>0.17</v>
      </c>
      <c r="O1046" s="7" t="s">
        <v>278</v>
      </c>
      <c r="P1046" s="3">
        <f>(C1046+(E1046*F1046*H1046))-N1046</f>
        <v>600</v>
      </c>
      <c r="Q1046" s="7" t="s">
        <v>278</v>
      </c>
      <c r="R1046" s="8">
        <f>P1046*(J1046-(J1046*L1046)-((J1046-(J1046*L1046))*M1046))</f>
        <v>6075600</v>
      </c>
      <c r="S1046" s="8">
        <f t="shared" si="342"/>
        <v>5473513.5135135129</v>
      </c>
    </row>
    <row r="1047" spans="1:19" s="80" customFormat="1">
      <c r="A1047" s="79" t="s">
        <v>654</v>
      </c>
      <c r="B1047" s="80" t="s">
        <v>25</v>
      </c>
      <c r="C1047" s="81"/>
      <c r="D1047" s="82" t="s">
        <v>278</v>
      </c>
      <c r="E1047" s="83"/>
      <c r="F1047" s="84">
        <v>1</v>
      </c>
      <c r="G1047" s="85" t="s">
        <v>20</v>
      </c>
      <c r="H1047" s="84">
        <v>80</v>
      </c>
      <c r="I1047" s="85" t="s">
        <v>278</v>
      </c>
      <c r="J1047" s="16">
        <f>848000/80</f>
        <v>10600</v>
      </c>
      <c r="K1047" s="82" t="s">
        <v>278</v>
      </c>
      <c r="L1047" s="86"/>
      <c r="M1047" s="86">
        <v>0.17</v>
      </c>
      <c r="N1047" s="84"/>
      <c r="O1047" s="85" t="s">
        <v>278</v>
      </c>
      <c r="P1047" s="81">
        <f>(C1047+(E1047*F1047*H1047))-N1047</f>
        <v>0</v>
      </c>
      <c r="Q1047" s="85" t="s">
        <v>278</v>
      </c>
      <c r="R1047" s="16">
        <f>P1047*(J1047-(J1047*L1047)-((J1047-(J1047*L1047))*M1047))</f>
        <v>0</v>
      </c>
      <c r="S1047" s="16">
        <f t="shared" si="342"/>
        <v>0</v>
      </c>
    </row>
    <row r="1048" spans="1:19" s="80" customFormat="1">
      <c r="A1048" s="79" t="s">
        <v>631</v>
      </c>
      <c r="B1048" s="80" t="s">
        <v>25</v>
      </c>
      <c r="C1048" s="81"/>
      <c r="D1048" s="82" t="s">
        <v>278</v>
      </c>
      <c r="E1048" s="83"/>
      <c r="F1048" s="84">
        <v>1</v>
      </c>
      <c r="G1048" s="85" t="s">
        <v>20</v>
      </c>
      <c r="H1048" s="84">
        <v>60</v>
      </c>
      <c r="I1048" s="85" t="s">
        <v>278</v>
      </c>
      <c r="J1048" s="16">
        <f>852000/60</f>
        <v>14200</v>
      </c>
      <c r="K1048" s="82" t="s">
        <v>278</v>
      </c>
      <c r="L1048" s="86"/>
      <c r="M1048" s="86">
        <v>0.17</v>
      </c>
      <c r="N1048" s="84"/>
      <c r="O1048" s="85" t="s">
        <v>278</v>
      </c>
      <c r="P1048" s="81">
        <f>(C1048+(E1048*F1048*H1048))-N1048</f>
        <v>0</v>
      </c>
      <c r="Q1048" s="85" t="s">
        <v>278</v>
      </c>
      <c r="R1048" s="16">
        <f>P1048*(J1048-(J1048*L1048)-((J1048-(J1048*L1048))*M1048))</f>
        <v>0</v>
      </c>
      <c r="S1048" s="16">
        <f t="shared" si="342"/>
        <v>0</v>
      </c>
    </row>
    <row r="1050" spans="1:19" ht="15.75">
      <c r="A1050" s="14" t="s">
        <v>632</v>
      </c>
    </row>
    <row r="1051" spans="1:19" s="80" customFormat="1">
      <c r="A1051" s="79" t="s">
        <v>634</v>
      </c>
      <c r="B1051" s="80" t="s">
        <v>18</v>
      </c>
      <c r="C1051" s="81"/>
      <c r="D1051" s="82" t="s">
        <v>19</v>
      </c>
      <c r="E1051" s="83"/>
      <c r="F1051" s="84">
        <v>1</v>
      </c>
      <c r="G1051" s="85" t="s">
        <v>20</v>
      </c>
      <c r="H1051" s="84">
        <v>24</v>
      </c>
      <c r="I1051" s="85" t="s">
        <v>19</v>
      </c>
      <c r="J1051" s="16">
        <v>21500</v>
      </c>
      <c r="K1051" s="82" t="s">
        <v>19</v>
      </c>
      <c r="L1051" s="86">
        <v>0.125</v>
      </c>
      <c r="M1051" s="86">
        <v>0.05</v>
      </c>
      <c r="N1051" s="84"/>
      <c r="O1051" s="85" t="s">
        <v>19</v>
      </c>
      <c r="P1051" s="81">
        <f t="shared" ref="P1051:P1063" si="364">(C1051+(E1051*F1051*H1051))-N1051</f>
        <v>0</v>
      </c>
      <c r="Q1051" s="85" t="s">
        <v>19</v>
      </c>
      <c r="R1051" s="16">
        <f t="shared" ref="R1051:R1063" si="365">P1051*(J1051-(J1051*L1051)-((J1051-(J1051*L1051))*M1051))</f>
        <v>0</v>
      </c>
      <c r="S1051" s="16">
        <f t="shared" si="342"/>
        <v>0</v>
      </c>
    </row>
    <row r="1052" spans="1:19" s="19" customFormat="1">
      <c r="A1052" s="18" t="s">
        <v>635</v>
      </c>
      <c r="B1052" s="19" t="s">
        <v>18</v>
      </c>
      <c r="C1052" s="20"/>
      <c r="D1052" s="21" t="s">
        <v>19</v>
      </c>
      <c r="E1052" s="26">
        <v>1</v>
      </c>
      <c r="F1052" s="22">
        <v>1</v>
      </c>
      <c r="G1052" s="23" t="s">
        <v>20</v>
      </c>
      <c r="H1052" s="22">
        <v>24</v>
      </c>
      <c r="I1052" s="23" t="s">
        <v>19</v>
      </c>
      <c r="J1052" s="24">
        <v>24300</v>
      </c>
      <c r="K1052" s="21" t="s">
        <v>19</v>
      </c>
      <c r="L1052" s="25">
        <v>0.125</v>
      </c>
      <c r="M1052" s="25">
        <v>0.05</v>
      </c>
      <c r="N1052" s="22"/>
      <c r="O1052" s="23" t="s">
        <v>19</v>
      </c>
      <c r="P1052" s="20">
        <f t="shared" ref="P1052:P1053" si="366">(C1052+(E1052*F1052*H1052))-N1052</f>
        <v>24</v>
      </c>
      <c r="Q1052" s="23" t="s">
        <v>19</v>
      </c>
      <c r="R1052" s="24">
        <f t="shared" ref="R1052:R1053" si="367">P1052*(J1052-(J1052*L1052)-((J1052-(J1052*L1052))*M1052))</f>
        <v>484785</v>
      </c>
      <c r="S1052" s="24">
        <f t="shared" ref="S1052:S1053" si="368">R1052/1.11</f>
        <v>436743.2432432432</v>
      </c>
    </row>
    <row r="1053" spans="1:19" s="19" customFormat="1">
      <c r="A1053" s="18" t="s">
        <v>636</v>
      </c>
      <c r="B1053" s="19" t="s">
        <v>18</v>
      </c>
      <c r="C1053" s="20"/>
      <c r="D1053" s="21" t="s">
        <v>19</v>
      </c>
      <c r="E1053" s="26">
        <v>13</v>
      </c>
      <c r="F1053" s="22">
        <v>1</v>
      </c>
      <c r="G1053" s="23" t="s">
        <v>20</v>
      </c>
      <c r="H1053" s="22">
        <v>24</v>
      </c>
      <c r="I1053" s="23" t="s">
        <v>19</v>
      </c>
      <c r="J1053" s="24">
        <v>11100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si="366"/>
        <v>312</v>
      </c>
      <c r="Q1053" s="23" t="s">
        <v>19</v>
      </c>
      <c r="R1053" s="24">
        <f t="shared" si="367"/>
        <v>2878785</v>
      </c>
      <c r="S1053" s="24">
        <f t="shared" si="368"/>
        <v>2593500</v>
      </c>
    </row>
    <row r="1054" spans="1:19" s="19" customFormat="1">
      <c r="A1054" s="18" t="s">
        <v>637</v>
      </c>
      <c r="B1054" s="19" t="s">
        <v>18</v>
      </c>
      <c r="C1054" s="20"/>
      <c r="D1054" s="21" t="s">
        <v>19</v>
      </c>
      <c r="E1054" s="26">
        <v>13</v>
      </c>
      <c r="F1054" s="22">
        <v>1</v>
      </c>
      <c r="G1054" s="23" t="s">
        <v>20</v>
      </c>
      <c r="H1054" s="22">
        <v>24</v>
      </c>
      <c r="I1054" s="23" t="s">
        <v>19</v>
      </c>
      <c r="J1054" s="24">
        <v>19000</v>
      </c>
      <c r="K1054" s="21" t="s">
        <v>19</v>
      </c>
      <c r="L1054" s="25">
        <v>0.125</v>
      </c>
      <c r="M1054" s="25">
        <v>0.05</v>
      </c>
      <c r="N1054" s="22"/>
      <c r="O1054" s="23" t="s">
        <v>19</v>
      </c>
      <c r="P1054" s="20">
        <f t="shared" si="364"/>
        <v>312</v>
      </c>
      <c r="Q1054" s="23" t="s">
        <v>19</v>
      </c>
      <c r="R1054" s="24">
        <f t="shared" si="365"/>
        <v>4927650</v>
      </c>
      <c r="S1054" s="24">
        <f t="shared" si="342"/>
        <v>4439324.3243243238</v>
      </c>
    </row>
    <row r="1055" spans="1:19" s="19" customFormat="1">
      <c r="A1055" s="18" t="s">
        <v>729</v>
      </c>
      <c r="B1055" s="19" t="s">
        <v>18</v>
      </c>
      <c r="C1055" s="20"/>
      <c r="D1055" s="21" t="s">
        <v>19</v>
      </c>
      <c r="E1055" s="26">
        <v>1</v>
      </c>
      <c r="F1055" s="22">
        <v>1</v>
      </c>
      <c r="G1055" s="23" t="s">
        <v>20</v>
      </c>
      <c r="H1055" s="22">
        <v>12</v>
      </c>
      <c r="I1055" s="23" t="s">
        <v>19</v>
      </c>
      <c r="J1055" s="24">
        <v>31000</v>
      </c>
      <c r="K1055" s="21" t="s">
        <v>19</v>
      </c>
      <c r="L1055" s="25">
        <v>0.125</v>
      </c>
      <c r="M1055" s="25">
        <v>0.05</v>
      </c>
      <c r="N1055" s="22"/>
      <c r="O1055" s="23" t="s">
        <v>19</v>
      </c>
      <c r="P1055" s="20">
        <f t="shared" si="364"/>
        <v>12</v>
      </c>
      <c r="Q1055" s="23" t="s">
        <v>19</v>
      </c>
      <c r="R1055" s="24">
        <f t="shared" si="365"/>
        <v>309225</v>
      </c>
      <c r="S1055" s="24">
        <f t="shared" si="342"/>
        <v>278581.08108108107</v>
      </c>
    </row>
    <row r="1056" spans="1:19" s="89" customFormat="1">
      <c r="A1056" s="88" t="s">
        <v>728</v>
      </c>
      <c r="B1056" s="89" t="s">
        <v>18</v>
      </c>
      <c r="C1056" s="87"/>
      <c r="D1056" s="90" t="s">
        <v>19</v>
      </c>
      <c r="E1056" s="91">
        <v>1</v>
      </c>
      <c r="F1056" s="92">
        <v>1</v>
      </c>
      <c r="G1056" s="93" t="s">
        <v>20</v>
      </c>
      <c r="H1056" s="92">
        <v>24</v>
      </c>
      <c r="I1056" s="93" t="s">
        <v>19</v>
      </c>
      <c r="J1056" s="94">
        <v>12300</v>
      </c>
      <c r="K1056" s="90" t="s">
        <v>19</v>
      </c>
      <c r="L1056" s="95">
        <v>0.125</v>
      </c>
      <c r="M1056" s="95">
        <v>0.05</v>
      </c>
      <c r="N1056" s="92"/>
      <c r="O1056" s="93" t="s">
        <v>19</v>
      </c>
      <c r="P1056" s="87">
        <f t="shared" si="364"/>
        <v>24</v>
      </c>
      <c r="Q1056" s="93" t="s">
        <v>19</v>
      </c>
      <c r="R1056" s="94">
        <f t="shared" si="365"/>
        <v>245385</v>
      </c>
      <c r="S1056" s="16">
        <f t="shared" si="342"/>
        <v>221067.56756756754</v>
      </c>
    </row>
    <row r="1057" spans="1:19" s="19" customFormat="1">
      <c r="A1057" s="18" t="s">
        <v>830</v>
      </c>
      <c r="B1057" s="19" t="s">
        <v>18</v>
      </c>
      <c r="C1057" s="20"/>
      <c r="D1057" s="21" t="s">
        <v>19</v>
      </c>
      <c r="E1057" s="26">
        <v>2</v>
      </c>
      <c r="F1057" s="22">
        <v>1</v>
      </c>
      <c r="G1057" s="23" t="s">
        <v>20</v>
      </c>
      <c r="H1057" s="22">
        <v>24</v>
      </c>
      <c r="I1057" s="23" t="s">
        <v>19</v>
      </c>
      <c r="J1057" s="24">
        <v>16500</v>
      </c>
      <c r="K1057" s="21" t="s">
        <v>19</v>
      </c>
      <c r="L1057" s="25">
        <v>0.125</v>
      </c>
      <c r="M1057" s="25">
        <v>0.05</v>
      </c>
      <c r="N1057" s="22"/>
      <c r="O1057" s="23" t="s">
        <v>19</v>
      </c>
      <c r="P1057" s="20">
        <f t="shared" si="364"/>
        <v>48</v>
      </c>
      <c r="Q1057" s="23" t="s">
        <v>19</v>
      </c>
      <c r="R1057" s="24">
        <f t="shared" si="365"/>
        <v>658350</v>
      </c>
      <c r="S1057" s="8">
        <f t="shared" si="342"/>
        <v>593108.10810810805</v>
      </c>
    </row>
    <row r="1058" spans="1:19" s="96" customFormat="1">
      <c r="A1058" s="115" t="s">
        <v>633</v>
      </c>
      <c r="B1058" s="96" t="s">
        <v>18</v>
      </c>
      <c r="C1058" s="99"/>
      <c r="D1058" s="100" t="s">
        <v>19</v>
      </c>
      <c r="E1058" s="101">
        <v>1</v>
      </c>
      <c r="F1058" s="102">
        <v>1</v>
      </c>
      <c r="G1058" s="103" t="s">
        <v>20</v>
      </c>
      <c r="H1058" s="102">
        <v>24</v>
      </c>
      <c r="I1058" s="103" t="s">
        <v>19</v>
      </c>
      <c r="J1058" s="104">
        <v>17200</v>
      </c>
      <c r="K1058" s="100" t="s">
        <v>19</v>
      </c>
      <c r="L1058" s="105">
        <v>0.125</v>
      </c>
      <c r="M1058" s="105">
        <v>0.05</v>
      </c>
      <c r="N1058" s="102"/>
      <c r="O1058" s="103" t="s">
        <v>19</v>
      </c>
      <c r="P1058" s="99">
        <f t="shared" si="364"/>
        <v>24</v>
      </c>
      <c r="Q1058" s="103" t="s">
        <v>19</v>
      </c>
      <c r="R1058" s="104">
        <f t="shared" si="365"/>
        <v>343140</v>
      </c>
      <c r="S1058" s="104">
        <f>R1058/1.11</f>
        <v>309135.13513513509</v>
      </c>
    </row>
    <row r="1059" spans="1:19" s="96" customFormat="1">
      <c r="A1059" s="115" t="s">
        <v>884</v>
      </c>
      <c r="B1059" s="96" t="s">
        <v>18</v>
      </c>
      <c r="C1059" s="99"/>
      <c r="D1059" s="100" t="s">
        <v>19</v>
      </c>
      <c r="E1059" s="101">
        <v>1</v>
      </c>
      <c r="F1059" s="102">
        <v>1</v>
      </c>
      <c r="G1059" s="103" t="s">
        <v>20</v>
      </c>
      <c r="H1059" s="102">
        <v>12</v>
      </c>
      <c r="I1059" s="103" t="s">
        <v>19</v>
      </c>
      <c r="J1059" s="104">
        <v>30500</v>
      </c>
      <c r="K1059" s="100" t="s">
        <v>19</v>
      </c>
      <c r="L1059" s="105">
        <v>0.125</v>
      </c>
      <c r="M1059" s="105">
        <v>0.05</v>
      </c>
      <c r="N1059" s="102"/>
      <c r="O1059" s="103" t="s">
        <v>19</v>
      </c>
      <c r="P1059" s="99">
        <f>(C1059+(E1059*F1059*H1059))-N1059</f>
        <v>12</v>
      </c>
      <c r="Q1059" s="103" t="s">
        <v>19</v>
      </c>
      <c r="R1059" s="104">
        <f t="shared" ref="R1059" si="369">P1059*(J1059-(J1059*L1059)-((J1059-(J1059*L1059))*M1059))</f>
        <v>304237.5</v>
      </c>
      <c r="S1059" s="104">
        <f>R1059/1.11</f>
        <v>274087.83783783781</v>
      </c>
    </row>
    <row r="1060" spans="1:19" s="89" customFormat="1">
      <c r="A1060" s="88" t="s">
        <v>648</v>
      </c>
      <c r="B1060" s="89" t="s">
        <v>18</v>
      </c>
      <c r="C1060" s="87"/>
      <c r="D1060" s="90" t="s">
        <v>19</v>
      </c>
      <c r="E1060" s="91"/>
      <c r="F1060" s="92">
        <v>12</v>
      </c>
      <c r="G1060" s="93" t="s">
        <v>33</v>
      </c>
      <c r="H1060" s="92">
        <v>20</v>
      </c>
      <c r="I1060" s="93" t="s">
        <v>19</v>
      </c>
      <c r="J1060" s="94">
        <v>5150</v>
      </c>
      <c r="K1060" s="90" t="s">
        <v>19</v>
      </c>
      <c r="L1060" s="95">
        <v>0.125</v>
      </c>
      <c r="M1060" s="95">
        <v>0.05</v>
      </c>
      <c r="N1060" s="92"/>
      <c r="O1060" s="93" t="s">
        <v>19</v>
      </c>
      <c r="P1060" s="87">
        <f t="shared" si="364"/>
        <v>0</v>
      </c>
      <c r="Q1060" s="93" t="s">
        <v>19</v>
      </c>
      <c r="R1060" s="94">
        <f t="shared" si="365"/>
        <v>0</v>
      </c>
      <c r="S1060" s="94">
        <f t="shared" ref="S1060" si="370">R1060/1.11</f>
        <v>0</v>
      </c>
    </row>
    <row r="1061" spans="1:19" s="19" customFormat="1">
      <c r="A1061" s="18" t="s">
        <v>638</v>
      </c>
      <c r="B1061" s="19" t="s">
        <v>18</v>
      </c>
      <c r="C1061" s="20">
        <v>73</v>
      </c>
      <c r="D1061" s="21" t="s">
        <v>19</v>
      </c>
      <c r="E1061" s="26"/>
      <c r="F1061" s="22">
        <v>1</v>
      </c>
      <c r="G1061" s="23" t="s">
        <v>20</v>
      </c>
      <c r="H1061" s="22">
        <v>96</v>
      </c>
      <c r="I1061" s="23" t="s">
        <v>19</v>
      </c>
      <c r="J1061" s="24">
        <v>14200</v>
      </c>
      <c r="K1061" s="21" t="s">
        <v>19</v>
      </c>
      <c r="L1061" s="25">
        <v>0.125</v>
      </c>
      <c r="M1061" s="25">
        <v>0.05</v>
      </c>
      <c r="N1061" s="22"/>
      <c r="O1061" s="23" t="s">
        <v>19</v>
      </c>
      <c r="P1061" s="20">
        <f t="shared" si="364"/>
        <v>73</v>
      </c>
      <c r="Q1061" s="23" t="s">
        <v>19</v>
      </c>
      <c r="R1061" s="24">
        <f t="shared" si="365"/>
        <v>861673.75</v>
      </c>
      <c r="S1061" s="24">
        <f t="shared" si="342"/>
        <v>776282.65765765763</v>
      </c>
    </row>
    <row r="1062" spans="1:19" s="80" customFormat="1">
      <c r="A1062" s="79" t="s">
        <v>639</v>
      </c>
      <c r="B1062" s="80" t="s">
        <v>18</v>
      </c>
      <c r="C1062" s="81"/>
      <c r="D1062" s="82" t="s">
        <v>19</v>
      </c>
      <c r="E1062" s="83"/>
      <c r="F1062" s="84">
        <v>1</v>
      </c>
      <c r="G1062" s="85" t="s">
        <v>20</v>
      </c>
      <c r="H1062" s="84">
        <v>24</v>
      </c>
      <c r="I1062" s="85" t="s">
        <v>19</v>
      </c>
      <c r="J1062" s="16">
        <v>41000</v>
      </c>
      <c r="K1062" s="82" t="s">
        <v>19</v>
      </c>
      <c r="L1062" s="86">
        <v>0.125</v>
      </c>
      <c r="M1062" s="86">
        <v>0.05</v>
      </c>
      <c r="N1062" s="84"/>
      <c r="O1062" s="85" t="s">
        <v>19</v>
      </c>
      <c r="P1062" s="81">
        <f t="shared" si="364"/>
        <v>0</v>
      </c>
      <c r="Q1062" s="85" t="s">
        <v>19</v>
      </c>
      <c r="R1062" s="16">
        <f t="shared" si="365"/>
        <v>0</v>
      </c>
      <c r="S1062" s="16">
        <f t="shared" si="342"/>
        <v>0</v>
      </c>
    </row>
    <row r="1063" spans="1:19">
      <c r="A1063" s="17" t="s">
        <v>640</v>
      </c>
      <c r="B1063" s="2" t="s">
        <v>18</v>
      </c>
      <c r="C1063" s="3">
        <v>146</v>
      </c>
      <c r="D1063" s="4" t="s">
        <v>19</v>
      </c>
      <c r="F1063" s="6">
        <v>1</v>
      </c>
      <c r="G1063" s="7" t="s">
        <v>20</v>
      </c>
      <c r="H1063" s="6">
        <v>100</v>
      </c>
      <c r="I1063" s="7" t="s">
        <v>19</v>
      </c>
      <c r="J1063" s="8">
        <v>15500</v>
      </c>
      <c r="K1063" s="4" t="s">
        <v>19</v>
      </c>
      <c r="L1063" s="9">
        <v>0.125</v>
      </c>
      <c r="M1063" s="9">
        <v>0.05</v>
      </c>
      <c r="O1063" s="7" t="s">
        <v>19</v>
      </c>
      <c r="P1063" s="3">
        <f t="shared" si="364"/>
        <v>146</v>
      </c>
      <c r="Q1063" s="7" t="s">
        <v>19</v>
      </c>
      <c r="R1063" s="8">
        <f t="shared" si="365"/>
        <v>1881118.75</v>
      </c>
      <c r="S1063" s="8">
        <f t="shared" si="342"/>
        <v>1694701.5765765763</v>
      </c>
    </row>
    <row r="1065" spans="1:19" s="106" customFormat="1">
      <c r="A1065" s="167" t="s">
        <v>677</v>
      </c>
      <c r="B1065" s="106" t="s">
        <v>25</v>
      </c>
      <c r="C1065" s="107"/>
      <c r="D1065" s="108" t="s">
        <v>19</v>
      </c>
      <c r="E1065" s="109">
        <v>2</v>
      </c>
      <c r="F1065" s="110">
        <v>1</v>
      </c>
      <c r="G1065" s="111" t="s">
        <v>20</v>
      </c>
      <c r="H1065" s="110">
        <v>24</v>
      </c>
      <c r="I1065" s="111" t="s">
        <v>19</v>
      </c>
      <c r="J1065" s="112">
        <f>372000/24</f>
        <v>15500</v>
      </c>
      <c r="K1065" s="108" t="s">
        <v>19</v>
      </c>
      <c r="L1065" s="113"/>
      <c r="M1065" s="113">
        <v>0.17</v>
      </c>
      <c r="N1065" s="110"/>
      <c r="O1065" s="111" t="s">
        <v>19</v>
      </c>
      <c r="P1065" s="107">
        <f t="shared" ref="P1065:P1073" si="371">(C1065+(E1065*F1065*H1065))-N1065</f>
        <v>48</v>
      </c>
      <c r="Q1065" s="111" t="s">
        <v>19</v>
      </c>
      <c r="R1065" s="112">
        <f t="shared" ref="R1065:R1073" si="372">P1065*(J1065-(J1065*L1065)-((J1065-(J1065*L1065))*M1065))</f>
        <v>617520</v>
      </c>
      <c r="S1065" s="112">
        <f t="shared" si="342"/>
        <v>556324.32432432426</v>
      </c>
    </row>
    <row r="1066" spans="1:19" s="80" customFormat="1">
      <c r="A1066" s="148" t="s">
        <v>641</v>
      </c>
      <c r="B1066" s="80" t="s">
        <v>25</v>
      </c>
      <c r="C1066" s="81"/>
      <c r="D1066" s="82" t="s">
        <v>19</v>
      </c>
      <c r="E1066" s="83">
        <v>2</v>
      </c>
      <c r="F1066" s="84">
        <v>1</v>
      </c>
      <c r="G1066" s="85" t="s">
        <v>20</v>
      </c>
      <c r="H1066" s="84">
        <v>24</v>
      </c>
      <c r="I1066" s="85" t="s">
        <v>19</v>
      </c>
      <c r="J1066" s="16">
        <f>444000/24</f>
        <v>18500</v>
      </c>
      <c r="K1066" s="82" t="s">
        <v>19</v>
      </c>
      <c r="L1066" s="86"/>
      <c r="M1066" s="86">
        <v>0.17</v>
      </c>
      <c r="N1066" s="84"/>
      <c r="O1066" s="85" t="s">
        <v>19</v>
      </c>
      <c r="P1066" s="81">
        <f t="shared" si="371"/>
        <v>48</v>
      </c>
      <c r="Q1066" s="85" t="s">
        <v>19</v>
      </c>
      <c r="R1066" s="16">
        <f t="shared" si="372"/>
        <v>737040</v>
      </c>
      <c r="S1066" s="16">
        <f t="shared" si="342"/>
        <v>663999.99999999988</v>
      </c>
    </row>
    <row r="1067" spans="1:19" s="19" customFormat="1">
      <c r="A1067" s="55" t="s">
        <v>642</v>
      </c>
      <c r="B1067" s="19" t="s">
        <v>25</v>
      </c>
      <c r="C1067" s="20">
        <v>19</v>
      </c>
      <c r="D1067" s="21" t="s">
        <v>19</v>
      </c>
      <c r="E1067" s="26">
        <v>53</v>
      </c>
      <c r="F1067" s="22">
        <v>1</v>
      </c>
      <c r="G1067" s="23" t="s">
        <v>20</v>
      </c>
      <c r="H1067" s="22">
        <v>24</v>
      </c>
      <c r="I1067" s="23" t="s">
        <v>19</v>
      </c>
      <c r="J1067" s="24">
        <f>462000/24</f>
        <v>19250</v>
      </c>
      <c r="K1067" s="21" t="s">
        <v>19</v>
      </c>
      <c r="L1067" s="25"/>
      <c r="M1067" s="25">
        <v>0.17</v>
      </c>
      <c r="N1067" s="22"/>
      <c r="O1067" s="23" t="s">
        <v>19</v>
      </c>
      <c r="P1067" s="20">
        <f t="shared" si="371"/>
        <v>1291</v>
      </c>
      <c r="Q1067" s="23" t="s">
        <v>19</v>
      </c>
      <c r="R1067" s="24">
        <f t="shared" si="372"/>
        <v>20626952.5</v>
      </c>
      <c r="S1067" s="8">
        <f t="shared" si="342"/>
        <v>18582840.090090089</v>
      </c>
    </row>
    <row r="1068" spans="1:19" s="19" customFormat="1">
      <c r="A1068" s="55" t="s">
        <v>709</v>
      </c>
      <c r="B1068" s="19" t="s">
        <v>25</v>
      </c>
      <c r="C1068" s="20">
        <v>30</v>
      </c>
      <c r="D1068" s="21" t="s">
        <v>19</v>
      </c>
      <c r="E1068" s="26"/>
      <c r="F1068" s="22">
        <v>1</v>
      </c>
      <c r="G1068" s="23" t="s">
        <v>20</v>
      </c>
      <c r="H1068" s="22">
        <v>24</v>
      </c>
      <c r="I1068" s="23" t="s">
        <v>19</v>
      </c>
      <c r="J1068" s="24">
        <f>462000/24</f>
        <v>19250</v>
      </c>
      <c r="K1068" s="21" t="s">
        <v>19</v>
      </c>
      <c r="L1068" s="25"/>
      <c r="M1068" s="25">
        <v>0.17</v>
      </c>
      <c r="N1068" s="22"/>
      <c r="O1068" s="23" t="s">
        <v>19</v>
      </c>
      <c r="P1068" s="20">
        <f t="shared" si="371"/>
        <v>30</v>
      </c>
      <c r="Q1068" s="23" t="s">
        <v>19</v>
      </c>
      <c r="R1068" s="24">
        <f t="shared" si="372"/>
        <v>479325</v>
      </c>
      <c r="S1068" s="8">
        <f t="shared" si="342"/>
        <v>431824.32432432426</v>
      </c>
    </row>
    <row r="1069" spans="1:19" s="80" customFormat="1">
      <c r="A1069" s="148" t="s">
        <v>643</v>
      </c>
      <c r="B1069" s="80" t="s">
        <v>25</v>
      </c>
      <c r="C1069" s="81"/>
      <c r="D1069" s="82" t="s">
        <v>19</v>
      </c>
      <c r="E1069" s="83"/>
      <c r="F1069" s="84">
        <v>1</v>
      </c>
      <c r="G1069" s="85" t="s">
        <v>20</v>
      </c>
      <c r="H1069" s="84">
        <v>24</v>
      </c>
      <c r="I1069" s="85" t="s">
        <v>19</v>
      </c>
      <c r="J1069" s="16">
        <v>17250</v>
      </c>
      <c r="K1069" s="82" t="s">
        <v>19</v>
      </c>
      <c r="L1069" s="86"/>
      <c r="M1069" s="86">
        <v>0.17</v>
      </c>
      <c r="N1069" s="84"/>
      <c r="O1069" s="85" t="s">
        <v>19</v>
      </c>
      <c r="P1069" s="81">
        <f t="shared" si="371"/>
        <v>0</v>
      </c>
      <c r="Q1069" s="85" t="s">
        <v>19</v>
      </c>
      <c r="R1069" s="16">
        <f t="shared" si="372"/>
        <v>0</v>
      </c>
      <c r="S1069" s="16">
        <f t="shared" si="342"/>
        <v>0</v>
      </c>
    </row>
    <row r="1070" spans="1:19" s="80" customFormat="1">
      <c r="A1070" s="148" t="s">
        <v>712</v>
      </c>
      <c r="B1070" s="80" t="s">
        <v>25</v>
      </c>
      <c r="C1070" s="81"/>
      <c r="D1070" s="82" t="s">
        <v>19</v>
      </c>
      <c r="E1070" s="83"/>
      <c r="F1070" s="84">
        <v>1</v>
      </c>
      <c r="G1070" s="85" t="s">
        <v>20</v>
      </c>
      <c r="H1070" s="84">
        <v>24</v>
      </c>
      <c r="I1070" s="85" t="s">
        <v>19</v>
      </c>
      <c r="J1070" s="16">
        <f>420000/24</f>
        <v>17500</v>
      </c>
      <c r="K1070" s="82" t="s">
        <v>19</v>
      </c>
      <c r="L1070" s="86"/>
      <c r="M1070" s="86">
        <v>0.17</v>
      </c>
      <c r="N1070" s="84"/>
      <c r="O1070" s="85" t="s">
        <v>19</v>
      </c>
      <c r="P1070" s="81">
        <f t="shared" si="371"/>
        <v>0</v>
      </c>
      <c r="Q1070" s="85" t="s">
        <v>19</v>
      </c>
      <c r="R1070" s="16">
        <f t="shared" si="372"/>
        <v>0</v>
      </c>
      <c r="S1070" s="16">
        <f t="shared" si="342"/>
        <v>0</v>
      </c>
    </row>
    <row r="1071" spans="1:19">
      <c r="A1071" s="55" t="s">
        <v>644</v>
      </c>
      <c r="B1071" s="2" t="s">
        <v>25</v>
      </c>
      <c r="C1071" s="3">
        <v>12</v>
      </c>
      <c r="D1071" s="4" t="s">
        <v>19</v>
      </c>
      <c r="F1071" s="6">
        <v>1</v>
      </c>
      <c r="G1071" s="7" t="s">
        <v>20</v>
      </c>
      <c r="H1071" s="6">
        <v>12</v>
      </c>
      <c r="I1071" s="7" t="s">
        <v>19</v>
      </c>
      <c r="J1071" s="8">
        <f>342000/12</f>
        <v>28500</v>
      </c>
      <c r="K1071" s="4" t="s">
        <v>19</v>
      </c>
      <c r="M1071" s="9">
        <v>0.17</v>
      </c>
      <c r="O1071" s="7" t="s">
        <v>19</v>
      </c>
      <c r="P1071" s="3">
        <f t="shared" si="371"/>
        <v>12</v>
      </c>
      <c r="Q1071" s="7" t="s">
        <v>19</v>
      </c>
      <c r="R1071" s="8">
        <f t="shared" si="372"/>
        <v>283860</v>
      </c>
      <c r="S1071" s="8">
        <f t="shared" si="342"/>
        <v>255729.7297297297</v>
      </c>
    </row>
    <row r="1072" spans="1:19" s="80" customFormat="1">
      <c r="A1072" s="148" t="s">
        <v>645</v>
      </c>
      <c r="B1072" s="80" t="s">
        <v>25</v>
      </c>
      <c r="C1072" s="87"/>
      <c r="D1072" s="82" t="s">
        <v>19</v>
      </c>
      <c r="E1072" s="83">
        <v>1</v>
      </c>
      <c r="F1072" s="84">
        <v>1</v>
      </c>
      <c r="G1072" s="85" t="s">
        <v>20</v>
      </c>
      <c r="H1072" s="84">
        <v>12</v>
      </c>
      <c r="I1072" s="85" t="s">
        <v>19</v>
      </c>
      <c r="J1072" s="16">
        <f>348000/12</f>
        <v>29000</v>
      </c>
      <c r="K1072" s="82" t="s">
        <v>19</v>
      </c>
      <c r="L1072" s="86"/>
      <c r="M1072" s="86">
        <v>0.17</v>
      </c>
      <c r="N1072" s="84"/>
      <c r="O1072" s="85" t="s">
        <v>19</v>
      </c>
      <c r="P1072" s="81">
        <f t="shared" si="371"/>
        <v>12</v>
      </c>
      <c r="Q1072" s="85" t="s">
        <v>19</v>
      </c>
      <c r="R1072" s="16">
        <f t="shared" si="372"/>
        <v>288840</v>
      </c>
      <c r="S1072" s="16">
        <f t="shared" si="342"/>
        <v>260216.21621621618</v>
      </c>
    </row>
    <row r="1073" spans="1:21" s="80" customFormat="1">
      <c r="A1073" s="148" t="s">
        <v>657</v>
      </c>
      <c r="B1073" s="80" t="s">
        <v>25</v>
      </c>
      <c r="C1073" s="87"/>
      <c r="D1073" s="82" t="s">
        <v>19</v>
      </c>
      <c r="E1073" s="83"/>
      <c r="F1073" s="84">
        <v>8</v>
      </c>
      <c r="G1073" s="85" t="s">
        <v>40</v>
      </c>
      <c r="H1073" s="84">
        <v>12</v>
      </c>
      <c r="I1073" s="85" t="s">
        <v>19</v>
      </c>
      <c r="J1073" s="16">
        <f>2112000/8/12</f>
        <v>22000</v>
      </c>
      <c r="K1073" s="82" t="s">
        <v>19</v>
      </c>
      <c r="L1073" s="86"/>
      <c r="M1073" s="86">
        <v>0.17</v>
      </c>
      <c r="N1073" s="84"/>
      <c r="O1073" s="85" t="s">
        <v>19</v>
      </c>
      <c r="P1073" s="81">
        <f t="shared" si="371"/>
        <v>0</v>
      </c>
      <c r="Q1073" s="85" t="s">
        <v>19</v>
      </c>
      <c r="R1073" s="16">
        <f t="shared" si="372"/>
        <v>0</v>
      </c>
      <c r="S1073" s="16">
        <f t="shared" si="342"/>
        <v>0</v>
      </c>
    </row>
    <row r="1074" spans="1:21">
      <c r="A1074" s="55"/>
      <c r="C1074" s="20"/>
    </row>
    <row r="1075" spans="1:21" s="19" customFormat="1">
      <c r="A1075" s="55" t="s">
        <v>646</v>
      </c>
      <c r="B1075" s="19" t="s">
        <v>182</v>
      </c>
      <c r="C1075" s="20"/>
      <c r="D1075" s="21" t="s">
        <v>40</v>
      </c>
      <c r="E1075" s="26">
        <v>10</v>
      </c>
      <c r="F1075" s="22">
        <v>48</v>
      </c>
      <c r="G1075" s="23" t="s">
        <v>33</v>
      </c>
      <c r="H1075" s="22">
        <v>1</v>
      </c>
      <c r="I1075" s="23" t="s">
        <v>40</v>
      </c>
      <c r="J1075" s="24">
        <v>92000</v>
      </c>
      <c r="K1075" s="21" t="s">
        <v>40</v>
      </c>
      <c r="L1075" s="78">
        <v>0.27927000000000002</v>
      </c>
      <c r="M1075" s="25"/>
      <c r="N1075" s="22"/>
      <c r="O1075" s="23" t="s">
        <v>40</v>
      </c>
      <c r="P1075" s="20">
        <f>(C1075+(E1075*F1075*H1075))-N1075</f>
        <v>480</v>
      </c>
      <c r="Q1075" s="23" t="s">
        <v>40</v>
      </c>
      <c r="R1075" s="24">
        <f>P1075*(J1075-(J1075*L1075)-((J1075-(J1075*L1075))*M1075))</f>
        <v>31827436.800000001</v>
      </c>
      <c r="S1075" s="24">
        <f t="shared" ref="S1075" si="373">R1075/1.11</f>
        <v>28673366.486486483</v>
      </c>
    </row>
    <row r="1076" spans="1:21" s="19" customFormat="1">
      <c r="A1076" s="55"/>
      <c r="C1076" s="20"/>
      <c r="D1076" s="21"/>
      <c r="E1076" s="26"/>
      <c r="F1076" s="22"/>
      <c r="G1076" s="23"/>
      <c r="H1076" s="22"/>
      <c r="I1076" s="23"/>
      <c r="J1076" s="24"/>
      <c r="K1076" s="21"/>
      <c r="L1076" s="25"/>
      <c r="M1076" s="25"/>
      <c r="N1076" s="22"/>
      <c r="O1076" s="23"/>
      <c r="P1076" s="20"/>
      <c r="Q1076" s="23"/>
      <c r="R1076" s="24"/>
      <c r="S1076" s="8"/>
    </row>
    <row r="1077" spans="1:21" s="80" customFormat="1">
      <c r="A1077" s="148" t="s">
        <v>647</v>
      </c>
      <c r="B1077" s="80" t="s">
        <v>598</v>
      </c>
      <c r="C1077" s="87"/>
      <c r="D1077" s="82" t="s">
        <v>19</v>
      </c>
      <c r="E1077" s="83"/>
      <c r="F1077" s="84">
        <v>1</v>
      </c>
      <c r="G1077" s="85" t="s">
        <v>20</v>
      </c>
      <c r="H1077" s="84">
        <v>24</v>
      </c>
      <c r="I1077" s="85" t="s">
        <v>19</v>
      </c>
      <c r="J1077" s="16">
        <v>18200</v>
      </c>
      <c r="K1077" s="82" t="s">
        <v>19</v>
      </c>
      <c r="L1077" s="86">
        <v>0.15</v>
      </c>
      <c r="M1077" s="86">
        <v>0.03</v>
      </c>
      <c r="N1077" s="84"/>
      <c r="O1077" s="85" t="s">
        <v>19</v>
      </c>
      <c r="P1077" s="81">
        <f>(C1077+(E1077*F1077*H1077))-N1077</f>
        <v>0</v>
      </c>
      <c r="Q1077" s="85" t="s">
        <v>19</v>
      </c>
      <c r="R1077" s="16">
        <f>P1077*(J1077-(J1077*L1077)-((J1077-(J1077*L1077))*M1077))</f>
        <v>0</v>
      </c>
      <c r="S1077" s="16">
        <f t="shared" ref="S1077" si="374">R1077/1.11</f>
        <v>0</v>
      </c>
    </row>
    <row r="1078" spans="1:21">
      <c r="C1078" s="20"/>
    </row>
    <row r="1079" spans="1:21" ht="15.75">
      <c r="A1079" s="14" t="s">
        <v>651</v>
      </c>
      <c r="C1079" s="20"/>
    </row>
    <row r="1080" spans="1:21" s="89" customFormat="1">
      <c r="A1080" s="88" t="s">
        <v>652</v>
      </c>
      <c r="B1080" s="89" t="s">
        <v>18</v>
      </c>
      <c r="C1080" s="87"/>
      <c r="D1080" s="90" t="s">
        <v>19</v>
      </c>
      <c r="E1080" s="91"/>
      <c r="F1080" s="92">
        <v>1</v>
      </c>
      <c r="G1080" s="93" t="s">
        <v>20</v>
      </c>
      <c r="H1080" s="92">
        <v>100</v>
      </c>
      <c r="I1080" s="93" t="s">
        <v>19</v>
      </c>
      <c r="J1080" s="94">
        <v>8400</v>
      </c>
      <c r="K1080" s="90" t="s">
        <v>19</v>
      </c>
      <c r="L1080" s="95">
        <v>0.125</v>
      </c>
      <c r="M1080" s="95">
        <v>0.05</v>
      </c>
      <c r="N1080" s="92"/>
      <c r="O1080" s="93" t="s">
        <v>19</v>
      </c>
      <c r="P1080" s="87">
        <f>(C1080+(E1080*F1080*H1080))-N1080</f>
        <v>0</v>
      </c>
      <c r="Q1080" s="93" t="s">
        <v>19</v>
      </c>
      <c r="R1080" s="94">
        <f>P1080*(J1080-(J1080*L1080)-((J1080-(J1080*L1080))*M1080))</f>
        <v>0</v>
      </c>
      <c r="S1080" s="94">
        <f t="shared" ref="S1080" si="375">R1080/1.11</f>
        <v>0</v>
      </c>
    </row>
    <row r="1081" spans="1:21">
      <c r="C1081" s="20"/>
    </row>
    <row r="1082" spans="1:21" ht="15.75">
      <c r="A1082" s="14" t="s">
        <v>802</v>
      </c>
      <c r="C1082" s="20"/>
    </row>
    <row r="1083" spans="1:21" s="19" customFormat="1">
      <c r="A1083" s="18" t="s">
        <v>876</v>
      </c>
      <c r="B1083" s="19" t="s">
        <v>46</v>
      </c>
      <c r="C1083" s="20">
        <v>14</v>
      </c>
      <c r="D1083" s="21" t="s">
        <v>19</v>
      </c>
      <c r="E1083" s="26"/>
      <c r="F1083" s="22">
        <v>4</v>
      </c>
      <c r="G1083" s="23" t="s">
        <v>33</v>
      </c>
      <c r="H1083" s="22">
        <v>12</v>
      </c>
      <c r="I1083" s="23" t="s">
        <v>19</v>
      </c>
      <c r="J1083" s="24"/>
      <c r="K1083" s="21" t="s">
        <v>19</v>
      </c>
      <c r="L1083" s="25">
        <v>0.1</v>
      </c>
      <c r="M1083" s="25">
        <v>0.05</v>
      </c>
      <c r="N1083" s="22"/>
      <c r="O1083" s="23" t="s">
        <v>19</v>
      </c>
      <c r="P1083" s="20">
        <f>(C1083+(E1083*F1083*H1083))-N1083</f>
        <v>14</v>
      </c>
      <c r="Q1083" s="23" t="s">
        <v>19</v>
      </c>
      <c r="R1083" s="24">
        <f>P1083*(J1083-(J1083*L1083)-((J1083-(J1083*L1083))*M1083))</f>
        <v>0</v>
      </c>
      <c r="S1083" s="24">
        <f t="shared" ref="S1083" si="376">R1083/1.11</f>
        <v>0</v>
      </c>
    </row>
    <row r="1084" spans="1:21">
      <c r="A1084" s="2"/>
      <c r="R1084" s="16"/>
      <c r="S1084" s="16"/>
    </row>
    <row r="1086" spans="1:21" ht="16.5">
      <c r="R1086" s="27">
        <f>SUM(R6:R1084)</f>
        <v>9162179485.1499996</v>
      </c>
      <c r="S1086" s="27">
        <f>SUM(S6:S1084)</f>
        <v>8254215752.3873835</v>
      </c>
    </row>
    <row r="1087" spans="1:21">
      <c r="R1087" s="30"/>
      <c r="S1087" s="28"/>
      <c r="U1087" s="8"/>
    </row>
    <row r="1088" spans="1:21">
      <c r="R1088" s="69"/>
      <c r="S1088" s="68"/>
      <c r="U1088" s="43"/>
    </row>
    <row r="1089" spans="18:21" ht="15.75">
      <c r="R1089" s="70"/>
      <c r="S1089" s="70"/>
      <c r="U1089" s="43"/>
    </row>
    <row r="1090" spans="18:21">
      <c r="R1090" s="29"/>
      <c r="S1090" s="29"/>
    </row>
    <row r="1091" spans="18:21">
      <c r="S1091" s="45"/>
    </row>
    <row r="1092" spans="18:21">
      <c r="R1092" s="4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2023-05-10T02:56:32Z</dcterms:modified>
</cp:coreProperties>
</file>