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PPN\08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7" i="1" l="1"/>
  <c r="Q96" i="1"/>
  <c r="Q95" i="1"/>
  <c r="Q93" i="1"/>
  <c r="Q92" i="1"/>
  <c r="Q91" i="1"/>
  <c r="Q89" i="1"/>
  <c r="Q88" i="1"/>
  <c r="Q87" i="1"/>
  <c r="L321" i="1"/>
  <c r="J79" i="1" l="1"/>
  <c r="J321" i="1"/>
  <c r="K321" i="1" s="1"/>
  <c r="L320" i="1"/>
  <c r="J320" i="1"/>
  <c r="K320" i="1" s="1"/>
  <c r="J319" i="1"/>
  <c r="K319" i="1" s="1"/>
  <c r="L318" i="1"/>
  <c r="J318" i="1"/>
  <c r="K318" i="1" s="1"/>
  <c r="J317" i="1"/>
  <c r="K317" i="1" s="1"/>
  <c r="J316" i="1"/>
  <c r="K316" i="1" s="1"/>
  <c r="L315" i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L309" i="1"/>
  <c r="J309" i="1"/>
  <c r="K309" i="1" s="1"/>
  <c r="K308" i="1"/>
  <c r="J308" i="1"/>
  <c r="J307" i="1"/>
  <c r="K307" i="1" s="1"/>
  <c r="J306" i="1"/>
  <c r="K306" i="1" s="1"/>
  <c r="J305" i="1"/>
  <c r="K305" i="1" s="1"/>
  <c r="L304" i="1"/>
  <c r="J304" i="1"/>
  <c r="K304" i="1" s="1"/>
  <c r="J303" i="1"/>
  <c r="K303" i="1" s="1"/>
  <c r="J302" i="1"/>
  <c r="K302" i="1" s="1"/>
  <c r="L301" i="1"/>
  <c r="J301" i="1"/>
  <c r="K301" i="1" s="1"/>
  <c r="J300" i="1"/>
  <c r="K300" i="1" s="1"/>
  <c r="J299" i="1"/>
  <c r="K299" i="1" s="1"/>
  <c r="J298" i="1"/>
  <c r="K298" i="1" s="1"/>
  <c r="K297" i="1"/>
  <c r="J297" i="1"/>
  <c r="J296" i="1"/>
  <c r="K296" i="1" s="1"/>
  <c r="K295" i="1"/>
  <c r="J295" i="1"/>
  <c r="L294" i="1"/>
  <c r="J294" i="1" s="1"/>
  <c r="K294" i="1" s="1"/>
  <c r="L293" i="1"/>
  <c r="J293" i="1" s="1"/>
  <c r="K293" i="1" s="1"/>
  <c r="K292" i="1"/>
  <c r="J292" i="1"/>
  <c r="J291" i="1"/>
  <c r="K291" i="1" s="1"/>
  <c r="L290" i="1"/>
  <c r="J290" i="1"/>
  <c r="K290" i="1" s="1"/>
  <c r="J289" i="1"/>
  <c r="K289" i="1" s="1"/>
  <c r="J288" i="1"/>
  <c r="K288" i="1" s="1"/>
  <c r="J287" i="1"/>
  <c r="K287" i="1" s="1"/>
  <c r="L286" i="1"/>
  <c r="J286" i="1" s="1"/>
  <c r="K286" i="1" s="1"/>
  <c r="J285" i="1"/>
  <c r="K285" i="1" s="1"/>
  <c r="J284" i="1"/>
  <c r="K284" i="1" s="1"/>
  <c r="J283" i="1"/>
  <c r="K283" i="1" s="1"/>
  <c r="L282" i="1"/>
  <c r="J282" i="1" s="1"/>
  <c r="K282" i="1" s="1"/>
  <c r="J281" i="1"/>
  <c r="K281" i="1" s="1"/>
  <c r="J280" i="1"/>
  <c r="K280" i="1" s="1"/>
  <c r="J279" i="1"/>
  <c r="K279" i="1" s="1"/>
  <c r="J278" i="1"/>
  <c r="K278" i="1" s="1"/>
  <c r="L277" i="1"/>
  <c r="J277" i="1" s="1"/>
  <c r="K277" i="1" s="1"/>
  <c r="L276" i="1"/>
  <c r="J276" i="1"/>
  <c r="K276" i="1" s="1"/>
  <c r="L275" i="1"/>
  <c r="J275" i="1" s="1"/>
  <c r="K275" i="1" s="1"/>
  <c r="L274" i="1"/>
  <c r="J274" i="1" s="1"/>
  <c r="K274" i="1" s="1"/>
  <c r="L273" i="1"/>
  <c r="J273" i="1"/>
  <c r="K273" i="1" s="1"/>
  <c r="J272" i="1"/>
  <c r="K272" i="1" s="1"/>
  <c r="J271" i="1"/>
  <c r="K271" i="1" s="1"/>
  <c r="L270" i="1"/>
  <c r="J270" i="1"/>
  <c r="K270" i="1" s="1"/>
  <c r="L269" i="1"/>
  <c r="J269" i="1" s="1"/>
  <c r="K269" i="1" s="1"/>
  <c r="J268" i="1"/>
  <c r="K268" i="1" s="1"/>
  <c r="J267" i="1"/>
  <c r="K267" i="1" s="1"/>
  <c r="K266" i="1"/>
  <c r="J266" i="1"/>
  <c r="J265" i="1"/>
  <c r="K265" i="1" s="1"/>
  <c r="L264" i="1"/>
  <c r="J264" i="1" s="1"/>
  <c r="K264" i="1" s="1"/>
  <c r="L263" i="1"/>
  <c r="J263" i="1" s="1"/>
  <c r="K263" i="1" s="1"/>
  <c r="L262" i="1"/>
  <c r="J262" i="1"/>
  <c r="K262" i="1" s="1"/>
  <c r="J261" i="1"/>
  <c r="K261" i="1" s="1"/>
  <c r="L260" i="1"/>
  <c r="J260" i="1"/>
  <c r="K260" i="1" s="1"/>
  <c r="L259" i="1"/>
  <c r="J259" i="1" s="1"/>
  <c r="K259" i="1" s="1"/>
  <c r="J258" i="1"/>
  <c r="K258" i="1" s="1"/>
  <c r="J257" i="1"/>
  <c r="K257" i="1" s="1"/>
  <c r="J256" i="1"/>
  <c r="K256" i="1" s="1"/>
  <c r="L255" i="1"/>
  <c r="J255" i="1"/>
  <c r="K255" i="1" s="1"/>
  <c r="L254" i="1"/>
  <c r="J254" i="1" s="1"/>
  <c r="K254" i="1" s="1"/>
  <c r="J253" i="1"/>
  <c r="K253" i="1" s="1"/>
  <c r="L252" i="1"/>
  <c r="J252" i="1" s="1"/>
  <c r="K252" i="1" s="1"/>
  <c r="J251" i="1"/>
  <c r="K251" i="1" s="1"/>
  <c r="L250" i="1"/>
  <c r="J250" i="1" s="1"/>
  <c r="K250" i="1" s="1"/>
  <c r="L249" i="1"/>
  <c r="J249" i="1"/>
  <c r="K249" i="1" s="1"/>
  <c r="L248" i="1"/>
  <c r="J248" i="1" s="1"/>
  <c r="K248" i="1" s="1"/>
  <c r="L247" i="1"/>
  <c r="J247" i="1" s="1"/>
  <c r="K247" i="1" s="1"/>
  <c r="L246" i="1"/>
  <c r="J246" i="1" s="1"/>
  <c r="K246" i="1" s="1"/>
  <c r="L245" i="1"/>
  <c r="J245" i="1" s="1"/>
  <c r="K245" i="1" s="1"/>
  <c r="L244" i="1"/>
  <c r="J244" i="1"/>
  <c r="K244" i="1" s="1"/>
  <c r="J243" i="1"/>
  <c r="K243" i="1" s="1"/>
  <c r="L242" i="1"/>
  <c r="J242" i="1"/>
  <c r="K242" i="1" s="1"/>
  <c r="L241" i="1"/>
  <c r="J241" i="1"/>
  <c r="K241" i="1" s="1"/>
  <c r="L240" i="1"/>
  <c r="J240" i="1" s="1"/>
  <c r="K240" i="1" s="1"/>
  <c r="J239" i="1"/>
  <c r="K239" i="1" s="1"/>
  <c r="J238" i="1"/>
  <c r="K238" i="1" s="1"/>
  <c r="L237" i="1"/>
  <c r="J237" i="1" s="1"/>
  <c r="K237" i="1" s="1"/>
  <c r="J236" i="1"/>
  <c r="K236" i="1" s="1"/>
  <c r="J235" i="1"/>
  <c r="K235" i="1" s="1"/>
  <c r="L234" i="1"/>
  <c r="J234" i="1" s="1"/>
  <c r="K234" i="1" s="1"/>
  <c r="L233" i="1"/>
  <c r="J233" i="1"/>
  <c r="K233" i="1" s="1"/>
  <c r="J232" i="1"/>
  <c r="K232" i="1" s="1"/>
  <c r="J231" i="1"/>
  <c r="K231" i="1" s="1"/>
  <c r="J230" i="1"/>
  <c r="K230" i="1" s="1"/>
  <c r="L229" i="1"/>
  <c r="J229" i="1"/>
  <c r="K229" i="1" s="1"/>
  <c r="K228" i="1"/>
  <c r="J228" i="1"/>
  <c r="J227" i="1"/>
  <c r="K227" i="1" s="1"/>
  <c r="K226" i="1"/>
  <c r="J226" i="1"/>
  <c r="L225" i="1"/>
  <c r="J225" i="1" s="1"/>
  <c r="K225" i="1" s="1"/>
  <c r="L224" i="1"/>
  <c r="J224" i="1" s="1"/>
  <c r="K224" i="1" s="1"/>
  <c r="L223" i="1"/>
  <c r="J223" i="1"/>
  <c r="K223" i="1" s="1"/>
  <c r="L222" i="1"/>
  <c r="J222" i="1" s="1"/>
  <c r="K222" i="1" s="1"/>
  <c r="L221" i="1"/>
  <c r="J221" i="1" s="1"/>
  <c r="K221" i="1" s="1"/>
  <c r="L220" i="1"/>
  <c r="J220" i="1"/>
  <c r="K220" i="1" s="1"/>
  <c r="L219" i="1"/>
  <c r="J219" i="1" s="1"/>
  <c r="K219" i="1" s="1"/>
  <c r="L218" i="1"/>
  <c r="J218" i="1" s="1"/>
  <c r="K218" i="1" s="1"/>
  <c r="L217" i="1"/>
  <c r="J217" i="1" s="1"/>
  <c r="K217" i="1" s="1"/>
  <c r="L216" i="1"/>
  <c r="J216" i="1" s="1"/>
  <c r="K216" i="1" s="1"/>
  <c r="J215" i="1"/>
  <c r="K215" i="1" s="1"/>
  <c r="L214" i="1"/>
  <c r="J214" i="1" s="1"/>
  <c r="K214" i="1" s="1"/>
  <c r="J213" i="1"/>
  <c r="K213" i="1" s="1"/>
  <c r="L212" i="1"/>
  <c r="J212" i="1" s="1"/>
  <c r="K212" i="1" s="1"/>
  <c r="L211" i="1"/>
  <c r="J211" i="1" s="1"/>
  <c r="K211" i="1" s="1"/>
  <c r="J210" i="1"/>
  <c r="K210" i="1" s="1"/>
  <c r="L209" i="1"/>
  <c r="J209" i="1" s="1"/>
  <c r="K209" i="1" s="1"/>
  <c r="J208" i="1"/>
  <c r="K208" i="1" s="1"/>
  <c r="L207" i="1"/>
  <c r="J207" i="1" s="1"/>
  <c r="K207" i="1" s="1"/>
  <c r="J206" i="1"/>
  <c r="K206" i="1" s="1"/>
  <c r="L205" i="1"/>
  <c r="J205" i="1"/>
  <c r="K205" i="1" s="1"/>
  <c r="L204" i="1"/>
  <c r="J204" i="1"/>
  <c r="K204" i="1" s="1"/>
  <c r="L203" i="1"/>
  <c r="J203" i="1" s="1"/>
  <c r="K203" i="1" s="1"/>
  <c r="L202" i="1"/>
  <c r="J202" i="1" s="1"/>
  <c r="K202" i="1" s="1"/>
  <c r="L201" i="1"/>
  <c r="J201" i="1"/>
  <c r="K201" i="1" s="1"/>
  <c r="J200" i="1"/>
  <c r="K200" i="1" s="1"/>
  <c r="K199" i="1"/>
  <c r="J199" i="1"/>
  <c r="L198" i="1"/>
  <c r="J198" i="1"/>
  <c r="K198" i="1" s="1"/>
  <c r="L197" i="1"/>
  <c r="J197" i="1" s="1"/>
  <c r="K197" i="1" s="1"/>
  <c r="L196" i="1"/>
  <c r="J196" i="1" s="1"/>
  <c r="K196" i="1" s="1"/>
  <c r="L195" i="1"/>
  <c r="J195" i="1"/>
  <c r="K195" i="1" s="1"/>
  <c r="J194" i="1"/>
  <c r="K194" i="1" s="1"/>
  <c r="L193" i="1"/>
  <c r="J193" i="1" s="1"/>
  <c r="K193" i="1" s="1"/>
  <c r="L192" i="1"/>
  <c r="J192" i="1"/>
  <c r="K192" i="1" s="1"/>
  <c r="L191" i="1"/>
  <c r="J191" i="1"/>
  <c r="K191" i="1" s="1"/>
  <c r="L190" i="1"/>
  <c r="J190" i="1" s="1"/>
  <c r="K190" i="1" s="1"/>
  <c r="L189" i="1"/>
  <c r="J189" i="1" s="1"/>
  <c r="K189" i="1" s="1"/>
  <c r="L188" i="1"/>
  <c r="J188" i="1"/>
  <c r="K188" i="1" s="1"/>
  <c r="L187" i="1"/>
  <c r="J187" i="1"/>
  <c r="K187" i="1" s="1"/>
  <c r="L186" i="1"/>
  <c r="J186" i="1" s="1"/>
  <c r="K186" i="1" s="1"/>
  <c r="L185" i="1"/>
  <c r="J185" i="1" s="1"/>
  <c r="K185" i="1" s="1"/>
  <c r="L184" i="1"/>
  <c r="J184" i="1"/>
  <c r="K184" i="1" s="1"/>
  <c r="J183" i="1"/>
  <c r="K183" i="1" s="1"/>
  <c r="L182" i="1"/>
  <c r="J182" i="1" s="1"/>
  <c r="K182" i="1" s="1"/>
  <c r="L181" i="1"/>
  <c r="J181" i="1" s="1"/>
  <c r="K181" i="1" s="1"/>
  <c r="L180" i="1"/>
  <c r="J180" i="1" s="1"/>
  <c r="K180" i="1" s="1"/>
  <c r="L179" i="1"/>
  <c r="J179" i="1"/>
  <c r="K179" i="1" s="1"/>
  <c r="J178" i="1"/>
  <c r="K178" i="1" s="1"/>
  <c r="J177" i="1"/>
  <c r="K177" i="1" s="1"/>
  <c r="L176" i="1"/>
  <c r="J176" i="1" s="1"/>
  <c r="K176" i="1" s="1"/>
  <c r="L175" i="1"/>
  <c r="J175" i="1"/>
  <c r="K175" i="1" s="1"/>
  <c r="L174" i="1"/>
  <c r="J174" i="1"/>
  <c r="K174" i="1" s="1"/>
  <c r="J173" i="1"/>
  <c r="K173" i="1" s="1"/>
  <c r="L172" i="1"/>
  <c r="J172" i="1" s="1"/>
  <c r="K172" i="1" s="1"/>
  <c r="J171" i="1"/>
  <c r="K171" i="1" s="1"/>
  <c r="J170" i="1"/>
  <c r="K170" i="1" s="1"/>
  <c r="J169" i="1"/>
  <c r="K169" i="1" s="1"/>
  <c r="L168" i="1"/>
  <c r="J168" i="1" s="1"/>
  <c r="K168" i="1" s="1"/>
  <c r="L167" i="1"/>
  <c r="J167" i="1"/>
  <c r="K167" i="1" s="1"/>
  <c r="J166" i="1"/>
  <c r="K166" i="1" s="1"/>
  <c r="L165" i="1"/>
  <c r="J165" i="1" s="1"/>
  <c r="K165" i="1" s="1"/>
  <c r="L164" i="1"/>
  <c r="J164" i="1"/>
  <c r="K164" i="1" s="1"/>
  <c r="L163" i="1"/>
  <c r="J163" i="1" s="1"/>
  <c r="K163" i="1" s="1"/>
  <c r="L162" i="1"/>
  <c r="J162" i="1" s="1"/>
  <c r="K162" i="1" s="1"/>
  <c r="L161" i="1"/>
  <c r="J161" i="1" s="1"/>
  <c r="K161" i="1" s="1"/>
  <c r="L160" i="1"/>
  <c r="J160" i="1" s="1"/>
  <c r="K160" i="1" s="1"/>
  <c r="L159" i="1"/>
  <c r="J159" i="1"/>
  <c r="K159" i="1" s="1"/>
  <c r="L158" i="1"/>
  <c r="J158" i="1" s="1"/>
  <c r="K158" i="1" s="1"/>
  <c r="J157" i="1"/>
  <c r="K157" i="1" s="1"/>
  <c r="L156" i="1"/>
  <c r="J156" i="1"/>
  <c r="K156" i="1" s="1"/>
  <c r="L155" i="1"/>
  <c r="J155" i="1" s="1"/>
  <c r="K155" i="1" s="1"/>
  <c r="L154" i="1"/>
  <c r="J154" i="1" s="1"/>
  <c r="K154" i="1" s="1"/>
  <c r="L153" i="1"/>
  <c r="J153" i="1"/>
  <c r="K153" i="1" s="1"/>
  <c r="L152" i="1"/>
  <c r="J152" i="1" s="1"/>
  <c r="K152" i="1" s="1"/>
  <c r="L151" i="1"/>
  <c r="J151" i="1" s="1"/>
  <c r="K151" i="1" s="1"/>
  <c r="L150" i="1"/>
  <c r="J150" i="1" s="1"/>
  <c r="K150" i="1" s="1"/>
  <c r="L149" i="1"/>
  <c r="J149" i="1" s="1"/>
  <c r="K149" i="1" s="1"/>
  <c r="L148" i="1"/>
  <c r="J148" i="1"/>
  <c r="K148" i="1" s="1"/>
  <c r="L147" i="1"/>
  <c r="J147" i="1" s="1"/>
  <c r="K147" i="1" s="1"/>
  <c r="J146" i="1"/>
  <c r="K146" i="1" s="1"/>
  <c r="L145" i="1"/>
  <c r="J145" i="1" s="1"/>
  <c r="K145" i="1" s="1"/>
  <c r="L144" i="1"/>
  <c r="J144" i="1"/>
  <c r="K144" i="1" s="1"/>
  <c r="L143" i="1"/>
  <c r="J143" i="1" s="1"/>
  <c r="K143" i="1" s="1"/>
  <c r="L142" i="1"/>
  <c r="J142" i="1"/>
  <c r="K142" i="1" s="1"/>
  <c r="L141" i="1"/>
  <c r="J141" i="1"/>
  <c r="K141" i="1" s="1"/>
  <c r="L140" i="1"/>
  <c r="J140" i="1"/>
  <c r="K140" i="1" s="1"/>
  <c r="L139" i="1"/>
  <c r="J139" i="1" s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K322" i="1" l="1"/>
  <c r="L322" i="1"/>
  <c r="J322" i="1"/>
  <c r="J82" i="1" s="1"/>
  <c r="J83" i="1"/>
  <c r="K83" i="1" s="1"/>
  <c r="K79" i="1"/>
  <c r="K82" i="1" l="1"/>
  <c r="K84" i="1" s="1"/>
  <c r="J84" i="1"/>
</calcChain>
</file>

<file path=xl/sharedStrings.xml><?xml version="1.0" encoding="utf-8"?>
<sst xmlns="http://schemas.openxmlformats.org/spreadsheetml/2006/main" count="1911" uniqueCount="933">
  <si>
    <t>80.146.833.1-047.000</t>
  </si>
  <si>
    <t>PT KENKO SINAR INDONESIA</t>
  </si>
  <si>
    <t>Normal</t>
  </si>
  <si>
    <t>Approval Sukses</t>
  </si>
  <si>
    <t>SUDIARTO</t>
  </si>
  <si>
    <t>03.040.614.4-047.000</t>
  </si>
  <si>
    <t>PT ATALI MAKMUR</t>
  </si>
  <si>
    <t>01.773.514.3-047.000</t>
  </si>
  <si>
    <t>PT SEMBILAN-SEMBILAN JAYA UTAMA</t>
  </si>
  <si>
    <t>03.262.318.3-047.000</t>
  </si>
  <si>
    <t>PT KALINDO SUKSES</t>
  </si>
  <si>
    <t>31.340.482.4-037.000</t>
  </si>
  <si>
    <t>PT MITRA GLOBAL NIAGA</t>
  </si>
  <si>
    <t>31.267.219.9-614.000</t>
  </si>
  <si>
    <t>CV SAMUDERA ANGKASA JAYA</t>
  </si>
  <si>
    <t>BELI</t>
  </si>
  <si>
    <t>DPP</t>
  </si>
  <si>
    <t>PPN</t>
  </si>
  <si>
    <t>JUAL</t>
  </si>
  <si>
    <t>91.924.273.5-629.000</t>
  </si>
  <si>
    <t>CV UTAMA PUTRA</t>
  </si>
  <si>
    <t>TULUNGAGUNG</t>
  </si>
  <si>
    <t>01.706.181.3-521.000</t>
  </si>
  <si>
    <t>CV PELITA JAYA  ( ANUGERAH SEJAHTERA )</t>
  </si>
  <si>
    <t>PURWOKERTO</t>
  </si>
  <si>
    <t>04.021.035.3-602.001</t>
  </si>
  <si>
    <t>LILY JULIAWATI  ( REJO AGUNG )</t>
  </si>
  <si>
    <t>JOMBANG</t>
  </si>
  <si>
    <t>01.454.876.2-533.000</t>
  </si>
  <si>
    <t>CV GANESHA</t>
  </si>
  <si>
    <t>WONOSOBO</t>
  </si>
  <si>
    <t>82.982.280.8-521.000</t>
  </si>
  <si>
    <t>CV TRINITY CENTRAAL</t>
  </si>
  <si>
    <t>42.884.805.5-501.000</t>
  </si>
  <si>
    <t>CV SINAR CAHAYA NIRMALA</t>
  </si>
  <si>
    <t>BREBES</t>
  </si>
  <si>
    <t>01.848.507.8-521.000</t>
  </si>
  <si>
    <t>CV WISUDA</t>
  </si>
  <si>
    <t>83.694.842.2-523.000</t>
  </si>
  <si>
    <t>CV FM. 90 (FAMILY / RENI JATIMULYO)</t>
  </si>
  <si>
    <t>KEBUMEN</t>
  </si>
  <si>
    <t>04.017.931.9-502.000</t>
  </si>
  <si>
    <t>HARNOYO  ( BENDAN )</t>
  </si>
  <si>
    <t>PEKALONGAN</t>
  </si>
  <si>
    <t>08.887.807.9-521.000</t>
  </si>
  <si>
    <t>SANTOSO BUDIONO (ARMADA)</t>
  </si>
  <si>
    <t>MANGGALA SAKTI</t>
  </si>
  <si>
    <t>MALANG</t>
  </si>
  <si>
    <t>NABILA</t>
  </si>
  <si>
    <t>TUBAN</t>
  </si>
  <si>
    <t>SUKSES MAKMUR</t>
  </si>
  <si>
    <t>COMAL</t>
  </si>
  <si>
    <t>PERDANA</t>
  </si>
  <si>
    <t>SISWA</t>
  </si>
  <si>
    <t>MUNTILAN</t>
  </si>
  <si>
    <t>HOKY</t>
  </si>
  <si>
    <t>GOMBONG</t>
  </si>
  <si>
    <t>AL ULYA</t>
  </si>
  <si>
    <t>TELADAN</t>
  </si>
  <si>
    <t>TEGAL</t>
  </si>
  <si>
    <t>KONDANG</t>
  </si>
  <si>
    <t>TEMANGGUNG</t>
  </si>
  <si>
    <t>JEPARA</t>
  </si>
  <si>
    <t>MELATI</t>
  </si>
  <si>
    <t>BANTUL</t>
  </si>
  <si>
    <t>IVONE</t>
  </si>
  <si>
    <t>BUMIAYU</t>
  </si>
  <si>
    <t>IKA</t>
  </si>
  <si>
    <t>PURBALINGGA</t>
  </si>
  <si>
    <t>INDOFOTOCOPY</t>
  </si>
  <si>
    <t>PARAKAN</t>
  </si>
  <si>
    <t>PUAS</t>
  </si>
  <si>
    <t>PATI</t>
  </si>
  <si>
    <t>SUKSES</t>
  </si>
  <si>
    <t>SALATIGA</t>
  </si>
  <si>
    <t>YOGYAKARTA</t>
  </si>
  <si>
    <t>METRO JAYA</t>
  </si>
  <si>
    <t>KROYA</t>
  </si>
  <si>
    <t>CIREBON</t>
  </si>
  <si>
    <t>MANGGALAM</t>
  </si>
  <si>
    <t>SUKOHARJO</t>
  </si>
  <si>
    <t>TRISNO</t>
  </si>
  <si>
    <t>PURWODADI</t>
  </si>
  <si>
    <t>MITRA KAMPUS</t>
  </si>
  <si>
    <t>KUDUS</t>
  </si>
  <si>
    <t>A R</t>
  </si>
  <si>
    <t>SINKONG</t>
  </si>
  <si>
    <t>PURWOREJO</t>
  </si>
  <si>
    <t>SASA</t>
  </si>
  <si>
    <t>BOJONEGORO</t>
  </si>
  <si>
    <t>SIANA (PECINAN)</t>
  </si>
  <si>
    <t>BAHTERA</t>
  </si>
  <si>
    <t>MAGELANG</t>
  </si>
  <si>
    <t>SUMBER BUKIT</t>
  </si>
  <si>
    <t>HT JAYA</t>
  </si>
  <si>
    <t>JUWANA</t>
  </si>
  <si>
    <t>MEDIA</t>
  </si>
  <si>
    <t>CILACAP</t>
  </si>
  <si>
    <t>KUTOARJO</t>
  </si>
  <si>
    <t>PUSTAKA BARU</t>
  </si>
  <si>
    <t>POJOK BLAURAN</t>
  </si>
  <si>
    <t>INDOBARU</t>
  </si>
  <si>
    <t>AF TOYS</t>
  </si>
  <si>
    <t>KENDAL</t>
  </si>
  <si>
    <t>ANEKA</t>
  </si>
  <si>
    <t>LANCAR</t>
  </si>
  <si>
    <t>SIDU</t>
  </si>
  <si>
    <t>NIKI SAE</t>
  </si>
  <si>
    <t>DOREMI</t>
  </si>
  <si>
    <t>RINGAN</t>
  </si>
  <si>
    <t>EKARIA</t>
  </si>
  <si>
    <t>DUTA ILAHI</t>
  </si>
  <si>
    <t>LASEM</t>
  </si>
  <si>
    <t>PRIMA</t>
  </si>
  <si>
    <t>MADIUN</t>
  </si>
  <si>
    <t>PEMALANG</t>
  </si>
  <si>
    <t>MERPATI</t>
  </si>
  <si>
    <t>ATLANTIK</t>
  </si>
  <si>
    <t>PONOROGO</t>
  </si>
  <si>
    <t>PRESTASI</t>
  </si>
  <si>
    <t>AJIBARANG</t>
  </si>
  <si>
    <t>MAKMUR</t>
  </si>
  <si>
    <t>SURYA</t>
  </si>
  <si>
    <t>SALIKAH</t>
  </si>
  <si>
    <t>BATANG</t>
  </si>
  <si>
    <t>SAHID</t>
  </si>
  <si>
    <t>MEMORY</t>
  </si>
  <si>
    <t>KADAR BUDHI</t>
  </si>
  <si>
    <t>PERTIWI</t>
  </si>
  <si>
    <t>BINA ILMU</t>
  </si>
  <si>
    <t>SINAR KONDANG</t>
  </si>
  <si>
    <t>BARU</t>
  </si>
  <si>
    <t>SEPULUH</t>
  </si>
  <si>
    <t>SOLO</t>
  </si>
  <si>
    <t>KURNIA</t>
  </si>
  <si>
    <t>PELAJAR</t>
  </si>
  <si>
    <t>BATU</t>
  </si>
  <si>
    <t>ENAM</t>
  </si>
  <si>
    <t>D R</t>
  </si>
  <si>
    <t>DIAN ILMU</t>
  </si>
  <si>
    <t>AL FAIZ</t>
  </si>
  <si>
    <t>MUDA JAYA</t>
  </si>
  <si>
    <t>SCORPIO</t>
  </si>
  <si>
    <t>2 4</t>
  </si>
  <si>
    <t>LARIS BARU</t>
  </si>
  <si>
    <t>REMAJA</t>
  </si>
  <si>
    <t>TEMMY</t>
  </si>
  <si>
    <t>LESTARI ADHI</t>
  </si>
  <si>
    <t>DHIAN</t>
  </si>
  <si>
    <t>BANJARNEGARA</t>
  </si>
  <si>
    <t>MERDEKA</t>
  </si>
  <si>
    <t>BOYOLALI</t>
  </si>
  <si>
    <t>SEMARANG</t>
  </si>
  <si>
    <t>R G</t>
  </si>
  <si>
    <t>KLATEN</t>
  </si>
  <si>
    <t>BLITAR</t>
  </si>
  <si>
    <t>TRIO PLAZA</t>
  </si>
  <si>
    <t>SARJI</t>
  </si>
  <si>
    <t>SAHABAT BARU</t>
  </si>
  <si>
    <t>ANEKA JAYA</t>
  </si>
  <si>
    <t>SILVIA</t>
  </si>
  <si>
    <t>TOTAL</t>
  </si>
  <si>
    <t xml:space="preserve">PENJUALAN </t>
  </si>
  <si>
    <t>PENJUALAN FAKTUR</t>
  </si>
  <si>
    <t>PENJUALAN DI GUNGGUNG</t>
  </si>
  <si>
    <t>010.001-22.12340694</t>
  </si>
  <si>
    <t>Mon Aug 01 00:00:00 WIB 2022</t>
  </si>
  <si>
    <t>Fri Sep 23 10:57:53 WIB 2022</t>
  </si>
  <si>
    <t>Thu Sep 22 14:06:25 WIB 2022</t>
  </si>
  <si>
    <t>010.001-22.12340872</t>
  </si>
  <si>
    <t>Fri Sep 23 10:57:54 WIB 2022</t>
  </si>
  <si>
    <t>Thu Sep 22 14:07:49 WIB 2022</t>
  </si>
  <si>
    <t>010.001-22.12340889</t>
  </si>
  <si>
    <t>Thu Sep 22 14:08:43 WIB 2022</t>
  </si>
  <si>
    <t>010.007-22.94094212</t>
  </si>
  <si>
    <t>Thu Sep 22 14:09:37 WIB 2022</t>
  </si>
  <si>
    <t>010.001-22.12341006</t>
  </si>
  <si>
    <t>Tue Aug 02 00:00:00 WIB 2022</t>
  </si>
  <si>
    <t>Thu Sep 22 14:22:16 WIB 2022</t>
  </si>
  <si>
    <t>010.007-22.88358417</t>
  </si>
  <si>
    <t>Thu Sep 22 14:23:14 WIB 2022</t>
  </si>
  <si>
    <t>010.001-22.12341132</t>
  </si>
  <si>
    <t>Wed Aug 03 00:00:00 WIB 2022</t>
  </si>
  <si>
    <t>Thu Sep 22 14:24:03 WIB 2022</t>
  </si>
  <si>
    <t>010.001-22.12341133</t>
  </si>
  <si>
    <t>Thu Sep 22 14:24:47 WIB 2022</t>
  </si>
  <si>
    <t>010.001-22.12341254</t>
  </si>
  <si>
    <t>Thu Aug 04 00:00:00 WIB 2022</t>
  </si>
  <si>
    <t>Thu Sep 22 14:28:01 WIB 2022</t>
  </si>
  <si>
    <t>010.007-22.27602831</t>
  </si>
  <si>
    <t>Thu Sep 22 14:29:09 WIB 2022</t>
  </si>
  <si>
    <t>010.001-22.12341386</t>
  </si>
  <si>
    <t>Fri Aug 05 00:00:00 WIB 2022</t>
  </si>
  <si>
    <t>Thu Sep 22 14:30:00 WIB 2022</t>
  </si>
  <si>
    <t>010.007-22.94095475</t>
  </si>
  <si>
    <t>Thu Sep 22 14:30:52 WIB 2022</t>
  </si>
  <si>
    <t>010.007-22.94095476</t>
  </si>
  <si>
    <t>Thu Sep 22 14:31:39 WIB 2022</t>
  </si>
  <si>
    <t>010.001-22.12341495</t>
  </si>
  <si>
    <t>Sat Aug 06 00:00:00 WIB 2022</t>
  </si>
  <si>
    <t>Fri Sep 23 10:57:55 WIB 2022</t>
  </si>
  <si>
    <t>Thu Sep 22 14:35:07 WIB 2022</t>
  </si>
  <si>
    <t>010.001-22.12341536</t>
  </si>
  <si>
    <t>Thu Sep 22 14:37:03 WIB 2022</t>
  </si>
  <si>
    <t>010.007-22.94095721</t>
  </si>
  <si>
    <t>Thu Sep 22 14:37:41 WIB 2022</t>
  </si>
  <si>
    <t>010.007-22.94095722</t>
  </si>
  <si>
    <t>Thu Sep 22 14:38:19 WIB 2022</t>
  </si>
  <si>
    <t>010.001-22.12341627</t>
  </si>
  <si>
    <t>Mon Aug 08 00:00:00 WIB 2022</t>
  </si>
  <si>
    <t>Thu Sep 22 14:45:44 WIB 2022</t>
  </si>
  <si>
    <t>010.001-22.12341697</t>
  </si>
  <si>
    <t>Tue Aug 09 00:00:00 WIB 2022</t>
  </si>
  <si>
    <t>Thu Sep 22 14:46:23 WIB 2022</t>
  </si>
  <si>
    <t>010.001-22.12341710</t>
  </si>
  <si>
    <t>Thu Sep 22 14:47:18 WIB 2022</t>
  </si>
  <si>
    <t>010.007-22.88358578</t>
  </si>
  <si>
    <t>Thu Sep 22 14:48:25 WIB 2022</t>
  </si>
  <si>
    <t>010.007-22.94096281</t>
  </si>
  <si>
    <t>Thu Sep 22 14:49:14 WIB 2022</t>
  </si>
  <si>
    <t>010.001-22.12341878</t>
  </si>
  <si>
    <t>Wed Aug 10 00:00:00 WIB 2022</t>
  </si>
  <si>
    <t>Thu Sep 22 14:53:32 WIB 2022</t>
  </si>
  <si>
    <t>010.001-22.12342003</t>
  </si>
  <si>
    <t>Thu Aug 11 00:00:00 WIB 2022</t>
  </si>
  <si>
    <t>Fri Sep 23 10:57:56 WIB 2022</t>
  </si>
  <si>
    <t>Thu Sep 22 14:54:20 WIB 2022</t>
  </si>
  <si>
    <t>010.007-22.94096809</t>
  </si>
  <si>
    <t>Thu Sep 22 14:55:06 WIB 2022</t>
  </si>
  <si>
    <t>010.007-22.94096835</t>
  </si>
  <si>
    <t>Thu Sep 22 14:55:44 WIB 2022</t>
  </si>
  <si>
    <t>010.001-22.12342119</t>
  </si>
  <si>
    <t>Fri Aug 12 00:00:00 WIB 2022</t>
  </si>
  <si>
    <t>Thu Sep 22 15:02:50 WIB 2022</t>
  </si>
  <si>
    <t>010.001-22.12342140</t>
  </si>
  <si>
    <t>Thu Sep 22 15:03:41 WIB 2022</t>
  </si>
  <si>
    <t>010.007-22.94097121</t>
  </si>
  <si>
    <t>Thu Sep 22 15:04:17 WIB 2022</t>
  </si>
  <si>
    <t>010.007-22.94097147</t>
  </si>
  <si>
    <t>Thu Sep 22 15:05:16 WIB 2022</t>
  </si>
  <si>
    <t>010.001-22.12342213</t>
  </si>
  <si>
    <t>Sat Aug 13 00:00:00 WIB 2022</t>
  </si>
  <si>
    <t>Thu Sep 22 15:07:53 WIB 2022</t>
  </si>
  <si>
    <t>010.001-22.12342223</t>
  </si>
  <si>
    <t>Thu Sep 22 15:08:43 WIB 2022</t>
  </si>
  <si>
    <t>010.001-22.12342344</t>
  </si>
  <si>
    <t>Mon Aug 15 00:00:00 WIB 2022</t>
  </si>
  <si>
    <t>Thu Sep 22 15:09:38 WIB 2022</t>
  </si>
  <si>
    <t>010.007-22.94097985</t>
  </si>
  <si>
    <t>Tue Aug 16 00:00:00 WIB 2022</t>
  </si>
  <si>
    <t>Thu Sep 22 15:10:30 WIB 2022</t>
  </si>
  <si>
    <t>010.007-22.94097996</t>
  </si>
  <si>
    <t>Fri Sep 23 10:57:57 WIB 2022</t>
  </si>
  <si>
    <t>Thu Sep 22 15:11:03 WIB 2022</t>
  </si>
  <si>
    <t>010.001-22.12342514</t>
  </si>
  <si>
    <t>Thu Aug 18 00:00:00 WIB 2022</t>
  </si>
  <si>
    <t>Thu Sep 22 15:25:05 WIB 2022</t>
  </si>
  <si>
    <t>010.001-22.12342518</t>
  </si>
  <si>
    <t>Thu Sep 22 15:25:45 WIB 2022</t>
  </si>
  <si>
    <t>010.001-22.12342547</t>
  </si>
  <si>
    <t>Thu Sep 22 15:26:23 WIB 2022</t>
  </si>
  <si>
    <t>010.007-22.94098197</t>
  </si>
  <si>
    <t>Thu Sep 22 15:27:00 WIB 2022</t>
  </si>
  <si>
    <t>010.007-22.94098211</t>
  </si>
  <si>
    <t>Thu Sep 22 15:27:33 WIB 2022</t>
  </si>
  <si>
    <t>01.799.951.7-033.000</t>
  </si>
  <si>
    <t>PT DWI TUNGGAL INDAH JAYA</t>
  </si>
  <si>
    <t>010.008-22.02929063</t>
  </si>
  <si>
    <t>Thu Sep 22 15:28:15 WIB 2022</t>
  </si>
  <si>
    <t>010.008-22.02929064</t>
  </si>
  <si>
    <t>Fri Sep 23 10:57:58 WIB 2022</t>
  </si>
  <si>
    <t>Thu Sep 22 15:28:54 WIB 2022</t>
  </si>
  <si>
    <t>010.001-22.12342606</t>
  </si>
  <si>
    <t>Fri Aug 19 00:00:00 WIB 2022</t>
  </si>
  <si>
    <t>Thu Sep 22 15:33:25 WIB 2022</t>
  </si>
  <si>
    <t>010.007-22.94098430</t>
  </si>
  <si>
    <t>Thu Sep 22 15:34:10 WIB 2022</t>
  </si>
  <si>
    <t>010.001-22.12342732</t>
  </si>
  <si>
    <t>Sat Aug 20 00:00:00 WIB 2022</t>
  </si>
  <si>
    <t>Thu Sep 22 15:34:53 WIB 2022</t>
  </si>
  <si>
    <t>010.007-22.94098605</t>
  </si>
  <si>
    <t>Thu Sep 22 15:35:28 WIB 2022</t>
  </si>
  <si>
    <t>010.001-22.12342860</t>
  </si>
  <si>
    <t>Mon Aug 22 00:00:00 WIB 2022</t>
  </si>
  <si>
    <t>Thu Sep 22 15:36:01 WIB 2022</t>
  </si>
  <si>
    <t>010.001-22.12342888</t>
  </si>
  <si>
    <t>Thu Sep 22 15:36:43 WIB 2022</t>
  </si>
  <si>
    <t>010.007-22.94098854</t>
  </si>
  <si>
    <t>Thu Sep 22 15:37:19 WIB 2022</t>
  </si>
  <si>
    <t>010.007-22.27602964</t>
  </si>
  <si>
    <t>Thu Sep 22 15:37:53 WIB 2022</t>
  </si>
  <si>
    <t>010.001-22.12342913</t>
  </si>
  <si>
    <t>Tue Aug 23 00:00:00 WIB 2022</t>
  </si>
  <si>
    <t>Fri Sep 23 10:58:00 WIB 2022</t>
  </si>
  <si>
    <t>Thu Sep 22 15:41:22 WIB 2022</t>
  </si>
  <si>
    <t>010.007-22.94099045</t>
  </si>
  <si>
    <t>Thu Sep 22 15:41:59 WIB 2022</t>
  </si>
  <si>
    <t>010.007-22.94099046</t>
  </si>
  <si>
    <t>Fri Sep 23 10:57:59 WIB 2022</t>
  </si>
  <si>
    <t>Thu Sep 22 15:42:35 WIB 2022</t>
  </si>
  <si>
    <t>010.001-22.12343091</t>
  </si>
  <si>
    <t>Wed Aug 24 00:00:00 WIB 2022</t>
  </si>
  <si>
    <t>Thu Sep 22 15:43:15 WIB 2022</t>
  </si>
  <si>
    <t>010.007-22.94099407</t>
  </si>
  <si>
    <t>Thu Sep 22 15:43:51 WIB 2022</t>
  </si>
  <si>
    <t>010.007-22.94099414</t>
  </si>
  <si>
    <t>Thu Sep 22 15:44:30 WIB 2022</t>
  </si>
  <si>
    <t>010.007-22.94099415</t>
  </si>
  <si>
    <t>Thu Sep 22 15:45:05 WIB 2022</t>
  </si>
  <si>
    <t>010.007-22.94099416</t>
  </si>
  <si>
    <t>Thu Sep 22 15:45:41 WIB 2022</t>
  </si>
  <si>
    <t>010.007-22.94099417</t>
  </si>
  <si>
    <t>Thu Sep 22 15:46:12 WIB 2022</t>
  </si>
  <si>
    <t>010.007-22.94099437</t>
  </si>
  <si>
    <t>Thu Sep 22 15:46:47 WIB 2022</t>
  </si>
  <si>
    <t>010.007-22.94099438</t>
  </si>
  <si>
    <t>Thu Sep 22 15:47:27 WIB 2022</t>
  </si>
  <si>
    <t>010.001-22.12343208</t>
  </si>
  <si>
    <t>Thu Aug 25 00:00:00 WIB 2022</t>
  </si>
  <si>
    <t>Thu Sep 22 15:50:39 WIB 2022</t>
  </si>
  <si>
    <t>010.001-22.12343229</t>
  </si>
  <si>
    <t>Thu Sep 22 15:51:16 WIB 2022</t>
  </si>
  <si>
    <t>010.007-22.94099817</t>
  </si>
  <si>
    <t>Thu Sep 22 15:51:56 WIB 2022</t>
  </si>
  <si>
    <t>010.007-22.94099818</t>
  </si>
  <si>
    <t>Thu Sep 22 15:52:32 WIB 2022</t>
  </si>
  <si>
    <t>010.001-22.12343304</t>
  </si>
  <si>
    <t>Fri Aug 26 00:00:00 WIB 2022</t>
  </si>
  <si>
    <t>Thu Sep 22 15:53:13 WIB 2022</t>
  </si>
  <si>
    <t>010.001-22.12343336</t>
  </si>
  <si>
    <t>Thu Sep 22 15:53:52 WIB 2022</t>
  </si>
  <si>
    <t>010.001-22.12343346</t>
  </si>
  <si>
    <t>Thu Sep 22 15:54:29 WIB 2022</t>
  </si>
  <si>
    <t>010.007-22.94100070</t>
  </si>
  <si>
    <t>Fri Sep 23 10:58:01 WIB 2022</t>
  </si>
  <si>
    <t>Thu Sep 22 15:55:06 WIB 2022</t>
  </si>
  <si>
    <t>010.001-22.12343419</t>
  </si>
  <si>
    <t>Sat Aug 27 00:00:00 WIB 2022</t>
  </si>
  <si>
    <t>Fri Sep 23 10:58:02 WIB 2022</t>
  </si>
  <si>
    <t>Thu Sep 22 15:58:06 WIB 2022</t>
  </si>
  <si>
    <t>010.007-22.55757497</t>
  </si>
  <si>
    <t>Thu Sep 22 15:58:46 WIB 2022</t>
  </si>
  <si>
    <t>010.007-22.94100345</t>
  </si>
  <si>
    <t>Thu Sep 22 15:59:23 WIB 2022</t>
  </si>
  <si>
    <t>010.007-22.27603007</t>
  </si>
  <si>
    <t>Thu Sep 22 16:00:33 WIB 2022</t>
  </si>
  <si>
    <t>010.007-22.94100806</t>
  </si>
  <si>
    <t>Tue Aug 30 00:00:00 WIB 2022</t>
  </si>
  <si>
    <t>Thu Sep 22 16:01:09 WIB 2022</t>
  </si>
  <si>
    <t>010.007-22.69474730</t>
  </si>
  <si>
    <t>Wed Aug 31 00:00:00 WIB 2022</t>
  </si>
  <si>
    <t>Thu Sep 22 16:01:50 WIB 2022</t>
  </si>
  <si>
    <t>010.007-22.94101114</t>
  </si>
  <si>
    <t>Thu Sep 22 16:02:24 WIB 2022</t>
  </si>
  <si>
    <t>010.007-22.27603031</t>
  </si>
  <si>
    <t>Thu Sep 22 16:02:57 WIB 2022</t>
  </si>
  <si>
    <t>AM 22080001</t>
  </si>
  <si>
    <t>KO 3406</t>
  </si>
  <si>
    <t>010.007-22.13924603</t>
  </si>
  <si>
    <t>AM 22080002</t>
  </si>
  <si>
    <t>KO 3407</t>
  </si>
  <si>
    <t>010.007-22.13924604</t>
  </si>
  <si>
    <t>AM 22080003</t>
  </si>
  <si>
    <t>KO 3361</t>
  </si>
  <si>
    <t>010.007-22.13924605</t>
  </si>
  <si>
    <t>AM 22080004</t>
  </si>
  <si>
    <t>KO 3362</t>
  </si>
  <si>
    <t>010.007-22.13924606</t>
  </si>
  <si>
    <t>AM 22080005</t>
  </si>
  <si>
    <t>KO 3365</t>
  </si>
  <si>
    <t>010.007-22.13924607</t>
  </si>
  <si>
    <t>AM 22080006</t>
  </si>
  <si>
    <t>G 3408</t>
  </si>
  <si>
    <t>010.007-22.13924608</t>
  </si>
  <si>
    <t>AM 22080007</t>
  </si>
  <si>
    <t>KO 3412</t>
  </si>
  <si>
    <t>010.007-22.13924609</t>
  </si>
  <si>
    <t>AM 22080008</t>
  </si>
  <si>
    <t>KO 3414</t>
  </si>
  <si>
    <t>010.007-22.13924610</t>
  </si>
  <si>
    <t>AM 22080009</t>
  </si>
  <si>
    <t>KO 3418</t>
  </si>
  <si>
    <t>010.007-22.13924611</t>
  </si>
  <si>
    <t>AM 22080010</t>
  </si>
  <si>
    <t>KO 3374</t>
  </si>
  <si>
    <t>010.007-22.13924612</t>
  </si>
  <si>
    <t>AM 22080011</t>
  </si>
  <si>
    <t>KO 3373</t>
  </si>
  <si>
    <t>010.007-22.13924613</t>
  </si>
  <si>
    <t>AM 22080012</t>
  </si>
  <si>
    <t>G 3381</t>
  </si>
  <si>
    <t>010.007-22.13924614</t>
  </si>
  <si>
    <t>AM 22080013</t>
  </si>
  <si>
    <t>G 3398</t>
  </si>
  <si>
    <t>010.007-22.13924615</t>
  </si>
  <si>
    <t>AM 22080014</t>
  </si>
  <si>
    <t>KO 3447</t>
  </si>
  <si>
    <t>010.007-22.13924616</t>
  </si>
  <si>
    <t>AM 22080015</t>
  </si>
  <si>
    <t>KO 0552</t>
  </si>
  <si>
    <t>010.007-22.13924617</t>
  </si>
  <si>
    <t>AM 22080016</t>
  </si>
  <si>
    <t>KO 0513</t>
  </si>
  <si>
    <t>010.007-22.13924618</t>
  </si>
  <si>
    <t>AM 22080017</t>
  </si>
  <si>
    <t>KO 0554</t>
  </si>
  <si>
    <t>010.007-22.13924619</t>
  </si>
  <si>
    <t>AM 22080018</t>
  </si>
  <si>
    <t>KO 0521</t>
  </si>
  <si>
    <t>010.007-22.13924620</t>
  </si>
  <si>
    <t>AM 22080019</t>
  </si>
  <si>
    <t>KO 0522</t>
  </si>
  <si>
    <t>010.007-22.13924621</t>
  </si>
  <si>
    <t>AM 22080020</t>
  </si>
  <si>
    <t>KO 0565</t>
  </si>
  <si>
    <t>010.007-22.13924622</t>
  </si>
  <si>
    <t>AM 22080021</t>
  </si>
  <si>
    <t>KO 0569</t>
  </si>
  <si>
    <t>010.007-22.13924623</t>
  </si>
  <si>
    <t>AM 22080022</t>
  </si>
  <si>
    <t>G 0580</t>
  </si>
  <si>
    <t>010.007-22.13924624</t>
  </si>
  <si>
    <t>AM 22080023</t>
  </si>
  <si>
    <t>G 0583</t>
  </si>
  <si>
    <t>010.007-22.13924625</t>
  </si>
  <si>
    <t>AM 22080024</t>
  </si>
  <si>
    <t>KO 0584</t>
  </si>
  <si>
    <t>010.007-22.13924626</t>
  </si>
  <si>
    <t>AM 22080025</t>
  </si>
  <si>
    <t>KO 0564</t>
  </si>
  <si>
    <t>010.007-22.13924627</t>
  </si>
  <si>
    <t>AM 22080026</t>
  </si>
  <si>
    <t>KO 0593</t>
  </si>
  <si>
    <t>010.007-22.13924628</t>
  </si>
  <si>
    <t>AM 22080027</t>
  </si>
  <si>
    <t>KO 0596</t>
  </si>
  <si>
    <t>010.007-22.13924629</t>
  </si>
  <si>
    <t>AM 22080028</t>
  </si>
  <si>
    <t>N 0601</t>
  </si>
  <si>
    <t>010.007-22.13924630</t>
  </si>
  <si>
    <t>AM 22080029</t>
  </si>
  <si>
    <t>KO 0610</t>
  </si>
  <si>
    <t>010.007-22.13924631</t>
  </si>
  <si>
    <t>AM 22080030</t>
  </si>
  <si>
    <t>G 0611</t>
  </si>
  <si>
    <t>010.007-22.13924632</t>
  </si>
  <si>
    <t>AM 22080031</t>
  </si>
  <si>
    <t>KO 0608</t>
  </si>
  <si>
    <t>010.007-22.13924633</t>
  </si>
  <si>
    <t>AM 22080032</t>
  </si>
  <si>
    <t>KO 0634</t>
  </si>
  <si>
    <t>010.007-22.13924634</t>
  </si>
  <si>
    <t>AM 22080034</t>
  </si>
  <si>
    <t>N 0680</t>
  </si>
  <si>
    <t>03.338.317.5-526.000</t>
  </si>
  <si>
    <t>CV TIARA</t>
  </si>
  <si>
    <t>010.007-22.13924635</t>
  </si>
  <si>
    <t>AM 22080035</t>
  </si>
  <si>
    <t>KO 1845</t>
  </si>
  <si>
    <t>82.986.844.7-603.000</t>
  </si>
  <si>
    <t>CV RAINBOW NUSANTARA ( PELANGI )</t>
  </si>
  <si>
    <t>SURABAYA</t>
  </si>
  <si>
    <t>010.007-22.13924636</t>
  </si>
  <si>
    <t>AM 22080036</t>
  </si>
  <si>
    <t>G 0645</t>
  </si>
  <si>
    <t>010.007-22.13924637</t>
  </si>
  <si>
    <t>AM 22080037</t>
  </si>
  <si>
    <t>KO 0646</t>
  </si>
  <si>
    <t>010.007-22.13924638</t>
  </si>
  <si>
    <t>AM 22080038</t>
  </si>
  <si>
    <t>KO 0650</t>
  </si>
  <si>
    <t>02.683.580.1-542.000</t>
  </si>
  <si>
    <t>CV DWI JAYA</t>
  </si>
  <si>
    <t>010.007-22.13924639</t>
  </si>
  <si>
    <t>AM 22080039</t>
  </si>
  <si>
    <t>G 0751</t>
  </si>
  <si>
    <t>010.007-22.13924640</t>
  </si>
  <si>
    <t>AM 22080040</t>
  </si>
  <si>
    <t>G 0753</t>
  </si>
  <si>
    <t>010.007-22.13924641</t>
  </si>
  <si>
    <t>AM 22080041</t>
  </si>
  <si>
    <t>KO 0697</t>
  </si>
  <si>
    <t>010.007-22.13924642</t>
  </si>
  <si>
    <t>AM 22080042</t>
  </si>
  <si>
    <t>KO 0756</t>
  </si>
  <si>
    <t>010.007-22.13924643</t>
  </si>
  <si>
    <t>AM 22080043</t>
  </si>
  <si>
    <t>KO 0761</t>
  </si>
  <si>
    <t>010.007-22.13924644</t>
  </si>
  <si>
    <t>AM 22080044</t>
  </si>
  <si>
    <t>G 0765</t>
  </si>
  <si>
    <t>010.007-22.13924645</t>
  </si>
  <si>
    <t>AM 22080045</t>
  </si>
  <si>
    <t>KO 0768</t>
  </si>
  <si>
    <t>010.007-22.13924646</t>
  </si>
  <si>
    <t>AM 22080046</t>
  </si>
  <si>
    <t>KO 0792</t>
  </si>
  <si>
    <t>010.007-22.13924647</t>
  </si>
  <si>
    <t>AM 22080047</t>
  </si>
  <si>
    <t>N 0798</t>
  </si>
  <si>
    <t>010.007-22.13924648</t>
  </si>
  <si>
    <t>AM 22080048</t>
  </si>
  <si>
    <t>KO 0905</t>
  </si>
  <si>
    <t>010.007-22.13924649</t>
  </si>
  <si>
    <t>AM 22080049</t>
  </si>
  <si>
    <t>KO 0915</t>
  </si>
  <si>
    <t>010.007-22.13924650</t>
  </si>
  <si>
    <t>AM 22080050</t>
  </si>
  <si>
    <t>KO 0773</t>
  </si>
  <si>
    <t>010.007-22.13924651</t>
  </si>
  <si>
    <t>AM 22080051</t>
  </si>
  <si>
    <t>G 0903</t>
  </si>
  <si>
    <t>010.007-22.13924652</t>
  </si>
  <si>
    <t>AM 22080052</t>
  </si>
  <si>
    <t>KO 0859</t>
  </si>
  <si>
    <t>010.007-22.13924653</t>
  </si>
  <si>
    <t>AM 22080062</t>
  </si>
  <si>
    <t>N 0974</t>
  </si>
  <si>
    <t>010.007-22.13924654</t>
  </si>
  <si>
    <t>AM 22080053</t>
  </si>
  <si>
    <t>N 035 - 040</t>
  </si>
  <si>
    <t>AM 22080054</t>
  </si>
  <si>
    <t>G 3363 0652 0923</t>
  </si>
  <si>
    <t>AM 22080055</t>
  </si>
  <si>
    <t>N 3405 8393 3446</t>
  </si>
  <si>
    <t>AM 22080056</t>
  </si>
  <si>
    <t>KO 3409 0858</t>
  </si>
  <si>
    <t>AM 22080057</t>
  </si>
  <si>
    <t>KO 1847 3454 3460</t>
  </si>
  <si>
    <t>AM 22080058</t>
  </si>
  <si>
    <t>KO 1848 3453 3459</t>
  </si>
  <si>
    <t>AM 22080059</t>
  </si>
  <si>
    <t>KO 1849 3461 3469</t>
  </si>
  <si>
    <t>AM 22080060</t>
  </si>
  <si>
    <t>KO 1850</t>
  </si>
  <si>
    <t>AM 22080061</t>
  </si>
  <si>
    <t>KO 3410 3378 3389</t>
  </si>
  <si>
    <t>AM 22080063</t>
  </si>
  <si>
    <t>KO 3364 3415 3426</t>
  </si>
  <si>
    <t>AM 22080064</t>
  </si>
  <si>
    <t>G 3366 3390 0694</t>
  </si>
  <si>
    <t>TEJO MULYO</t>
  </si>
  <si>
    <t>AM 22080065</t>
  </si>
  <si>
    <t>G 3367 0769 0777</t>
  </si>
  <si>
    <t>INDRASARI</t>
  </si>
  <si>
    <t>MRANGGEN</t>
  </si>
  <si>
    <t>AM 22080066</t>
  </si>
  <si>
    <t>KO 3368 3424 3450</t>
  </si>
  <si>
    <t>AM 22080067</t>
  </si>
  <si>
    <t>KO 3411 0505 0590</t>
  </si>
  <si>
    <t>AM 22080068</t>
  </si>
  <si>
    <t>KO 3413 3433 0510</t>
  </si>
  <si>
    <t>AM 22080069</t>
  </si>
  <si>
    <t>KO 3416 3428 3443</t>
  </si>
  <si>
    <t>AM 22080070</t>
  </si>
  <si>
    <t>KO 3417 3423 0589</t>
  </si>
  <si>
    <t>AM 22080071</t>
  </si>
  <si>
    <t>G 3419 0501 0752</t>
  </si>
  <si>
    <t>AM 22080072</t>
  </si>
  <si>
    <t>KO 3451</t>
  </si>
  <si>
    <t>AM 22080073</t>
  </si>
  <si>
    <t>KO 3452 3456 3462</t>
  </si>
  <si>
    <t>AM 22080074</t>
  </si>
  <si>
    <t>G 3421 0570 0588</t>
  </si>
  <si>
    <t>AM 22080075</t>
  </si>
  <si>
    <t>G 3422 0566</t>
  </si>
  <si>
    <t>MAKMUR JAYA</t>
  </si>
  <si>
    <t>AM 22080076</t>
  </si>
  <si>
    <t>KO 3425 0613</t>
  </si>
  <si>
    <t>MAKRO</t>
  </si>
  <si>
    <t>WANGON</t>
  </si>
  <si>
    <t>AM 22080077</t>
  </si>
  <si>
    <t>G 3427 3432</t>
  </si>
  <si>
    <t>ARUM BARU</t>
  </si>
  <si>
    <t>AM 22080078</t>
  </si>
  <si>
    <t>G 3429 3391 3396</t>
  </si>
  <si>
    <t>AM 22080079</t>
  </si>
  <si>
    <t>KO 3430 0523 0559</t>
  </si>
  <si>
    <t>AM 22080080</t>
  </si>
  <si>
    <t>G 3431 3382 3399</t>
  </si>
  <si>
    <t>AM 22080081</t>
  </si>
  <si>
    <t>N 3434</t>
  </si>
  <si>
    <t>RATNA KERTAS</t>
  </si>
  <si>
    <t>AM 22080082</t>
  </si>
  <si>
    <t>KO 3435 0615 0690</t>
  </si>
  <si>
    <t>AM 22080083</t>
  </si>
  <si>
    <t>N 3372 0579 0698</t>
  </si>
  <si>
    <t>AM 22080084</t>
  </si>
  <si>
    <t>KO 3436</t>
  </si>
  <si>
    <t>AM 22080085</t>
  </si>
  <si>
    <t>KO 3437</t>
  </si>
  <si>
    <t>AM 22080086</t>
  </si>
  <si>
    <t>N 3438</t>
  </si>
  <si>
    <t>AM 22080087</t>
  </si>
  <si>
    <t>KO 3439 3375 3385</t>
  </si>
  <si>
    <t>AM 22080088</t>
  </si>
  <si>
    <t>G 3440</t>
  </si>
  <si>
    <t>REJEKI (WINDA)</t>
  </si>
  <si>
    <t>AM 22080089</t>
  </si>
  <si>
    <t>KO 3369 3442 0928</t>
  </si>
  <si>
    <t>AM 22080090</t>
  </si>
  <si>
    <t>KO 3370 3386 0553</t>
  </si>
  <si>
    <t>AM 22080091</t>
  </si>
  <si>
    <t>KO 3371 0775</t>
  </si>
  <si>
    <t>AM 22080092</t>
  </si>
  <si>
    <t>N 3376</t>
  </si>
  <si>
    <t>AM 22080093</t>
  </si>
  <si>
    <t>N 3377</t>
  </si>
  <si>
    <t>BRUX MENCENG</t>
  </si>
  <si>
    <t>AM 22080094</t>
  </si>
  <si>
    <t>KO 3441 3400 0557</t>
  </si>
  <si>
    <t>AM 22080095</t>
  </si>
  <si>
    <t>KO 3458 3457 3467</t>
  </si>
  <si>
    <t>AM 22080096</t>
  </si>
  <si>
    <t>G 3379 0568 0574</t>
  </si>
  <si>
    <t>AM 22080097</t>
  </si>
  <si>
    <t>G 3380 0575</t>
  </si>
  <si>
    <t>AM 22080098</t>
  </si>
  <si>
    <t>N 3383</t>
  </si>
  <si>
    <t>EMY</t>
  </si>
  <si>
    <t>AM 22080099</t>
  </si>
  <si>
    <t>G 3384 0578 0699</t>
  </si>
  <si>
    <t>AM 22080100</t>
  </si>
  <si>
    <t>G 3387 3448</t>
  </si>
  <si>
    <t>AM 22080101</t>
  </si>
  <si>
    <t>G 3392 3444 0572</t>
  </si>
  <si>
    <t>AM 22080102</t>
  </si>
  <si>
    <t>G 8394 0600 0612</t>
  </si>
  <si>
    <t>AM 22080103</t>
  </si>
  <si>
    <t>KO 3395 0623 0774</t>
  </si>
  <si>
    <t>AM 22080104</t>
  </si>
  <si>
    <t>KO 0502 0643 0782</t>
  </si>
  <si>
    <t>AM 22080105</t>
  </si>
  <si>
    <t>KO 0503 0519 0561</t>
  </si>
  <si>
    <t>AM 22080106</t>
  </si>
  <si>
    <t>G 0504 0684 0794</t>
  </si>
  <si>
    <t>AM 22080107</t>
  </si>
  <si>
    <t>G 0506 0595 0772</t>
  </si>
  <si>
    <t>AM 22080108</t>
  </si>
  <si>
    <t>G 0507 0531</t>
  </si>
  <si>
    <t>AM 22080109</t>
  </si>
  <si>
    <t>N 0508</t>
  </si>
  <si>
    <t>CAHAYA</t>
  </si>
  <si>
    <t>AM 22080110</t>
  </si>
  <si>
    <t>N 0509 0514 0562</t>
  </si>
  <si>
    <t>AM 22080111</t>
  </si>
  <si>
    <t>KO 3397 0516 0560</t>
  </si>
  <si>
    <t>AM 22080112</t>
  </si>
  <si>
    <t>G 3445 0629 0919</t>
  </si>
  <si>
    <t>AM 22080113</t>
  </si>
  <si>
    <t>N 3449 0556</t>
  </si>
  <si>
    <t>AWAL MANDIRI</t>
  </si>
  <si>
    <t>SRAGEN</t>
  </si>
  <si>
    <t>AM 22080114</t>
  </si>
  <si>
    <t>G 0512</t>
  </si>
  <si>
    <t>AM 22080115</t>
  </si>
  <si>
    <t>G 0515</t>
  </si>
  <si>
    <t>LANTIKYA</t>
  </si>
  <si>
    <t>AM 22080116</t>
  </si>
  <si>
    <t>G 0517 0518 0636</t>
  </si>
  <si>
    <t>ANEKA SISWA BARU</t>
  </si>
  <si>
    <t>AM 22080117</t>
  </si>
  <si>
    <t>KO 0511 0641 0648</t>
  </si>
  <si>
    <t>AM 22080118</t>
  </si>
  <si>
    <t>KO 3464 3463 0701</t>
  </si>
  <si>
    <t>AM 22080119</t>
  </si>
  <si>
    <t>KO 3465 3470 3472</t>
  </si>
  <si>
    <t>AM 22080120</t>
  </si>
  <si>
    <t>G 0551 0576 0686</t>
  </si>
  <si>
    <t>AM 22080121</t>
  </si>
  <si>
    <t>G 0555</t>
  </si>
  <si>
    <t>TALENTA</t>
  </si>
  <si>
    <t>UNGARAN</t>
  </si>
  <si>
    <t>AM 22080122</t>
  </si>
  <si>
    <t>G 3388 0622</t>
  </si>
  <si>
    <t>AM 22080123</t>
  </si>
  <si>
    <t>KO 0520</t>
  </si>
  <si>
    <t>MURNI SPORT</t>
  </si>
  <si>
    <t>AM 22080124</t>
  </si>
  <si>
    <t>KO 0524 0527 0594</t>
  </si>
  <si>
    <t>AM 22080125</t>
  </si>
  <si>
    <t>KO 0558</t>
  </si>
  <si>
    <t>BARU SWALAYAN</t>
  </si>
  <si>
    <t>AM 22080126</t>
  </si>
  <si>
    <t>G 0567 0671 0766</t>
  </si>
  <si>
    <t>AM 22080127</t>
  </si>
  <si>
    <t>KO 0571 0603 0632</t>
  </si>
  <si>
    <t>AM 22080128</t>
  </si>
  <si>
    <t>KO 0573</t>
  </si>
  <si>
    <t>AM 22080129</t>
  </si>
  <si>
    <t>G 0577 0685 0692</t>
  </si>
  <si>
    <t>AM 22080130</t>
  </si>
  <si>
    <t>G 0581</t>
  </si>
  <si>
    <t>HIPPO</t>
  </si>
  <si>
    <t>MAGETAN</t>
  </si>
  <si>
    <t>AM 22080131</t>
  </si>
  <si>
    <t>G 0582 0592 0597</t>
  </si>
  <si>
    <t>AM 22080132</t>
  </si>
  <si>
    <t>KO 0586 0624 0661</t>
  </si>
  <si>
    <t>AM 22080133</t>
  </si>
  <si>
    <t>KO 0587 0545 0626</t>
  </si>
  <si>
    <t>AM 22080134</t>
  </si>
  <si>
    <t>KO 3468 3475 3476</t>
  </si>
  <si>
    <t>AM 22080135</t>
  </si>
  <si>
    <t>KO 3471 3477 3483</t>
  </si>
  <si>
    <t>AM 22080136</t>
  </si>
  <si>
    <t>G 3420 0693 0796</t>
  </si>
  <si>
    <t>AM 22080137</t>
  </si>
  <si>
    <t>N 041 - 044</t>
  </si>
  <si>
    <t>AM 22080138</t>
  </si>
  <si>
    <t>KO 0525 0681 0682</t>
  </si>
  <si>
    <t>AM 22080139</t>
  </si>
  <si>
    <t>G 0526 0644 0670</t>
  </si>
  <si>
    <t>AM 22080140</t>
  </si>
  <si>
    <t>G 0528 0547</t>
  </si>
  <si>
    <t>AM 22080141</t>
  </si>
  <si>
    <t>N 0529</t>
  </si>
  <si>
    <t>KOJA</t>
  </si>
  <si>
    <t>AM 22080142</t>
  </si>
  <si>
    <t>G 0530</t>
  </si>
  <si>
    <t>PERMATA</t>
  </si>
  <si>
    <t>AM 22080143</t>
  </si>
  <si>
    <t>G 0532</t>
  </si>
  <si>
    <t>GLORIA</t>
  </si>
  <si>
    <t>AM 22080144</t>
  </si>
  <si>
    <t>KO 0533 0688</t>
  </si>
  <si>
    <t>AM 22080145</t>
  </si>
  <si>
    <t>G 0534</t>
  </si>
  <si>
    <t>AM 22080146</t>
  </si>
  <si>
    <t>N 0535</t>
  </si>
  <si>
    <t>GUNUNG JATI</t>
  </si>
  <si>
    <t>AM 22080147</t>
  </si>
  <si>
    <t>KO 1846</t>
  </si>
  <si>
    <t>AM 22080148</t>
  </si>
  <si>
    <t>G 0591 0651</t>
  </si>
  <si>
    <t>AM 22080149</t>
  </si>
  <si>
    <t>KO 0598 0609 0619</t>
  </si>
  <si>
    <t>AM 22080150</t>
  </si>
  <si>
    <t>G 0599</t>
  </si>
  <si>
    <t>AM 22080151</t>
  </si>
  <si>
    <t>G 0536</t>
  </si>
  <si>
    <t>ANEKA SERAGAM</t>
  </si>
  <si>
    <t>AM 22080152</t>
  </si>
  <si>
    <t>N 0538 0640 0678</t>
  </si>
  <si>
    <t>AM 22080153</t>
  </si>
  <si>
    <t>G 0539</t>
  </si>
  <si>
    <t>SINAR</t>
  </si>
  <si>
    <t>MOJOKERTO</t>
  </si>
  <si>
    <t>AM 22080154</t>
  </si>
  <si>
    <t>KO 0540</t>
  </si>
  <si>
    <t>AM 22080155</t>
  </si>
  <si>
    <t>G 0541 0617 0662</t>
  </si>
  <si>
    <t>AM 22080156</t>
  </si>
  <si>
    <t>KO 0542 0543 0614</t>
  </si>
  <si>
    <t>AM 22080157</t>
  </si>
  <si>
    <t>KO 0602 0607 0635</t>
  </si>
  <si>
    <t>AM 22080158</t>
  </si>
  <si>
    <t>KO 3455</t>
  </si>
  <si>
    <t>AM 22080159</t>
  </si>
  <si>
    <t>KO 3473 3485 3492</t>
  </si>
  <si>
    <t>AM 22080160</t>
  </si>
  <si>
    <t>KO 3479 3474 3481</t>
  </si>
  <si>
    <t>AM 22080161</t>
  </si>
  <si>
    <t>KO 3478 3488 3493</t>
  </si>
  <si>
    <t>AM 22080162</t>
  </si>
  <si>
    <t>KO 0544 0906</t>
  </si>
  <si>
    <t>AM 22080163</t>
  </si>
  <si>
    <t>N 0546 0631 0760</t>
  </si>
  <si>
    <t>AM 22080164</t>
  </si>
  <si>
    <t>G 0548 0647</t>
  </si>
  <si>
    <t>AM 22080165</t>
  </si>
  <si>
    <t>KO 0549 0628 0665</t>
  </si>
  <si>
    <t>AM 22080166</t>
  </si>
  <si>
    <t>N 0550</t>
  </si>
  <si>
    <t>AM 22080167</t>
  </si>
  <si>
    <t>KO 3482 3499 3500</t>
  </si>
  <si>
    <t>AM 22080168</t>
  </si>
  <si>
    <t>G 0604</t>
  </si>
  <si>
    <t>AM 22080169</t>
  </si>
  <si>
    <t>G 0605 0630 0696</t>
  </si>
  <si>
    <t>AM 22080170</t>
  </si>
  <si>
    <t>KO 0606 0633 0755</t>
  </si>
  <si>
    <t>AM 22080171</t>
  </si>
  <si>
    <t>G 0653</t>
  </si>
  <si>
    <t>A4</t>
  </si>
  <si>
    <t>AM 22080172</t>
  </si>
  <si>
    <t>G 0654</t>
  </si>
  <si>
    <t>ISTANA KADO</t>
  </si>
  <si>
    <t>AM 22080173</t>
  </si>
  <si>
    <t>N 0655</t>
  </si>
  <si>
    <t>HAPPY SUMPIUH</t>
  </si>
  <si>
    <t>BANYUMAS</t>
  </si>
  <si>
    <t>AM 22080174</t>
  </si>
  <si>
    <t>N 045-046</t>
  </si>
  <si>
    <t>AM 22080175</t>
  </si>
  <si>
    <t>KO 0618 0855</t>
  </si>
  <si>
    <t>AM 22080176</t>
  </si>
  <si>
    <t>G 0620</t>
  </si>
  <si>
    <t>SISWA CEMERLANG</t>
  </si>
  <si>
    <t>AM 22080177</t>
  </si>
  <si>
    <t>KO 3484 3491 3495</t>
  </si>
  <si>
    <t>AM 22080178</t>
  </si>
  <si>
    <t>KO 3486 3489 3494</t>
  </si>
  <si>
    <t>AM 22080179</t>
  </si>
  <si>
    <t>KO 0656 0664 0668</t>
  </si>
  <si>
    <t>AM 22080180</t>
  </si>
  <si>
    <t>KO 0658</t>
  </si>
  <si>
    <t>MITRA</t>
  </si>
  <si>
    <t>AM 22080181</t>
  </si>
  <si>
    <t>N 0659</t>
  </si>
  <si>
    <t>AM 22080182</t>
  </si>
  <si>
    <t>N 0660</t>
  </si>
  <si>
    <t>AM 22080183</t>
  </si>
  <si>
    <t>G 0663</t>
  </si>
  <si>
    <t>ROYYAN</t>
  </si>
  <si>
    <t>AM 22080184</t>
  </si>
  <si>
    <t>KO 0625 0691 0758</t>
  </si>
  <si>
    <t>AM 22080185</t>
  </si>
  <si>
    <t>G 0627 0754 0852</t>
  </si>
  <si>
    <t>AM 22080186</t>
  </si>
  <si>
    <t>N 0637</t>
  </si>
  <si>
    <t>AM 22080187</t>
  </si>
  <si>
    <t>G 0621</t>
  </si>
  <si>
    <t>AM 22080188</t>
  </si>
  <si>
    <t>KO 0638 0790 0907</t>
  </si>
  <si>
    <t>AM 22080189</t>
  </si>
  <si>
    <t>G 0639 0683</t>
  </si>
  <si>
    <t>AM 22080190</t>
  </si>
  <si>
    <t>KO 0666 0649 0784</t>
  </si>
  <si>
    <t>AM 22080191</t>
  </si>
  <si>
    <t>KO 0669 0764 0909</t>
  </si>
  <si>
    <t>AM 22080192</t>
  </si>
  <si>
    <t>KO 0673 0757 0912</t>
  </si>
  <si>
    <t>AM 22080193</t>
  </si>
  <si>
    <t>N 0674</t>
  </si>
  <si>
    <t>IHSAN</t>
  </si>
  <si>
    <t>AM 22080194</t>
  </si>
  <si>
    <t>N 0675</t>
  </si>
  <si>
    <t>M J</t>
  </si>
  <si>
    <t>AM 22080195</t>
  </si>
  <si>
    <t>KO 0676</t>
  </si>
  <si>
    <t>AM 22080196</t>
  </si>
  <si>
    <t>N 0677</t>
  </si>
  <si>
    <t>AL IKHLAS</t>
  </si>
  <si>
    <t>AM 22080197</t>
  </si>
  <si>
    <t>KO 3496 3498</t>
  </si>
  <si>
    <t>AM 22080198</t>
  </si>
  <si>
    <t>KO 3497</t>
  </si>
  <si>
    <t>AM 22080199</t>
  </si>
  <si>
    <t>G 0679</t>
  </si>
  <si>
    <t>TIP TOP</t>
  </si>
  <si>
    <t>AM 22080200</t>
  </si>
  <si>
    <t>KO 0687</t>
  </si>
  <si>
    <t>AM 22080201</t>
  </si>
  <si>
    <t>KO 0695 0616</t>
  </si>
  <si>
    <t>AM 22080202</t>
  </si>
  <si>
    <t>N 0759</t>
  </si>
  <si>
    <t>AM 22080203</t>
  </si>
  <si>
    <t>N 0762</t>
  </si>
  <si>
    <t>AM 22080204</t>
  </si>
  <si>
    <t>G 0763</t>
  </si>
  <si>
    <t>MINI</t>
  </si>
  <si>
    <t>AM 22080205</t>
  </si>
  <si>
    <t>G 0700 0917</t>
  </si>
  <si>
    <t>AM 22080206</t>
  </si>
  <si>
    <t>KO 0672</t>
  </si>
  <si>
    <t>AM 22080207</t>
  </si>
  <si>
    <t>G 0767</t>
  </si>
  <si>
    <t>AMY</t>
  </si>
  <si>
    <t>KARANGAWEN</t>
  </si>
  <si>
    <t>AM 22080208</t>
  </si>
  <si>
    <t>KO 0770 0786 0916</t>
  </si>
  <si>
    <t>AM 22080209</t>
  </si>
  <si>
    <t>G 0772 0918</t>
  </si>
  <si>
    <t>AM 22080210</t>
  </si>
  <si>
    <t>N 0776</t>
  </si>
  <si>
    <t>RIA</t>
  </si>
  <si>
    <t>AM 22080211</t>
  </si>
  <si>
    <t>G 0778</t>
  </si>
  <si>
    <t>MUBAROK</t>
  </si>
  <si>
    <t>AM 22080212</t>
  </si>
  <si>
    <t>N 0779</t>
  </si>
  <si>
    <t>AM 22080213</t>
  </si>
  <si>
    <t>G 0780</t>
  </si>
  <si>
    <t>AM 22080214</t>
  </si>
  <si>
    <t>KO 0781</t>
  </si>
  <si>
    <t>TERMINAL II</t>
  </si>
  <si>
    <t>AM 22080215</t>
  </si>
  <si>
    <t>KO 0783</t>
  </si>
  <si>
    <t>AM 22080216</t>
  </si>
  <si>
    <t>KO 0785 0911</t>
  </si>
  <si>
    <t>AM 22080217</t>
  </si>
  <si>
    <t>KO 0787</t>
  </si>
  <si>
    <t>AM 22080218</t>
  </si>
  <si>
    <t>KO 0788</t>
  </si>
  <si>
    <t>AM 22080219</t>
  </si>
  <si>
    <t>KO 0789 0908</t>
  </si>
  <si>
    <t>AM 22080220</t>
  </si>
  <si>
    <t>G 0793</t>
  </si>
  <si>
    <t>AM 22080221</t>
  </si>
  <si>
    <t>G 0795</t>
  </si>
  <si>
    <t>AM 22080222</t>
  </si>
  <si>
    <t>G 0799</t>
  </si>
  <si>
    <t>AM 22080223</t>
  </si>
  <si>
    <t>N 0800</t>
  </si>
  <si>
    <t>AM 22080224</t>
  </si>
  <si>
    <t>KO 0851 0904</t>
  </si>
  <si>
    <t>AM 22080225</t>
  </si>
  <si>
    <t>G 0853</t>
  </si>
  <si>
    <t>GRAFIKA</t>
  </si>
  <si>
    <t>AM 22080226</t>
  </si>
  <si>
    <t>N 0210</t>
  </si>
  <si>
    <t>RAMAI</t>
  </si>
  <si>
    <t>AM 22080227</t>
  </si>
  <si>
    <t>N 0076</t>
  </si>
  <si>
    <t>NGALIYAN</t>
  </si>
  <si>
    <t>AM 22080228</t>
  </si>
  <si>
    <t>AM 22080229</t>
  </si>
  <si>
    <t>KO 0916</t>
  </si>
  <si>
    <t>AM 22080230</t>
  </si>
  <si>
    <t>KO 0917 0918</t>
  </si>
  <si>
    <t>AM 22080231</t>
  </si>
  <si>
    <t>KO 0919</t>
  </si>
  <si>
    <t>AM 22080232</t>
  </si>
  <si>
    <t>KO 0920</t>
  </si>
  <si>
    <t>AM 22080233</t>
  </si>
  <si>
    <t>KO 0801 0802</t>
  </si>
  <si>
    <t>AM 22080234</t>
  </si>
  <si>
    <t>KO 0803</t>
  </si>
  <si>
    <t>AM 22080235</t>
  </si>
  <si>
    <t>KO 0805 0807</t>
  </si>
  <si>
    <t>AM 22080236</t>
  </si>
  <si>
    <t>KO 0921 0922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</si>
</sst>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(* #,##0_);_(* \(#,##0\);_(* &quot;-&quot;_);_(@_)"/>
    <numFmt numFmtId="165" formatCode="[$-13809]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3" fontId="2" fillId="0" borderId="1" xfId="0" applyNumberFormat="1" applyFont="1" applyBorder="1"/>
    <xf numFmtId="0" fontId="0" fillId="0" borderId="0" xfId="0" applyFont="1" applyBorder="1" applyAlignment="1">
      <alignment horizontal="center" vertical="center"/>
    </xf>
    <xf numFmtId="4" fontId="3" fillId="0" borderId="0" xfId="1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165" fontId="0" fillId="0" borderId="0" xfId="0" applyNumberFormat="1" applyFont="1" applyFill="1" applyBorder="1" applyAlignment="1">
      <alignment vertical="center"/>
    </xf>
    <xf numFmtId="3" fontId="3" fillId="0" borderId="0" xfId="1" applyNumberFormat="1" applyFont="1" applyFill="1" applyBorder="1" applyAlignment="1"/>
    <xf numFmtId="41" fontId="2" fillId="0" borderId="1" xfId="0" applyNumberFormat="1" applyFont="1" applyBorder="1"/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165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Fill="1" applyBorder="1" applyAlignment="1"/>
    <xf numFmtId="3" fontId="0" fillId="0" borderId="0" xfId="0" applyNumberFormat="1" applyFont="1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65" fontId="0" fillId="0" borderId="0" xfId="0" applyNumberFormat="1" applyFont="1" applyFill="1" applyBorder="1"/>
    <xf numFmtId="4" fontId="0" fillId="0" borderId="0" xfId="0" applyNumberFormat="1" applyFont="1" applyBorder="1"/>
    <xf numFmtId="0" fontId="0" fillId="0" borderId="0" xfId="0" quotePrefix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2"/>
  <sheetViews>
    <sheetView tabSelected="1" topLeftCell="A83" workbookViewId="0">
      <selection activeCell="Q98" sqref="Q98"/>
    </sheetView>
  </sheetViews>
  <sheetFormatPr defaultRowHeight="15" x14ac:dyDescent="0.25"/>
  <cols>
    <col min="1" max="1" width="5.7109375" customWidth="1"/>
    <col min="4" max="4" width="19.5703125" customWidth="1"/>
    <col min="8" max="8" width="10.7109375" bestFit="1" customWidth="1"/>
    <col min="9" max="9" width="11.5703125" bestFit="1" customWidth="1"/>
    <col min="10" max="10" width="13.7109375" style="3" bestFit="1" customWidth="1"/>
    <col min="11" max="11" width="12.7109375" style="3" bestFit="1" customWidth="1"/>
    <col min="12" max="12" width="14.28515625" bestFit="1" customWidth="1"/>
    <col min="17" max="17" width="15.42578125" bestFit="1" customWidth="1"/>
  </cols>
  <sheetData>
    <row r="1" spans="1:19" s="4" customFormat="1" x14ac:dyDescent="0.25">
      <c r="A1" s="4" t="s">
        <v>15</v>
      </c>
      <c r="J1" s="5" t="s">
        <v>16</v>
      </c>
      <c r="K1" s="5" t="s">
        <v>17</v>
      </c>
    </row>
    <row r="2" spans="1:19" x14ac:dyDescent="0.25">
      <c r="A2" s="6">
        <v>1</v>
      </c>
      <c r="B2" s="1" t="s">
        <v>0</v>
      </c>
      <c r="C2" s="1" t="s">
        <v>1</v>
      </c>
      <c r="D2" s="1" t="s">
        <v>165</v>
      </c>
      <c r="E2" s="1" t="s">
        <v>166</v>
      </c>
      <c r="F2" s="1">
        <v>8</v>
      </c>
      <c r="G2" s="1">
        <v>2022</v>
      </c>
      <c r="H2" s="1" t="s">
        <v>2</v>
      </c>
      <c r="I2" s="1">
        <v>1</v>
      </c>
      <c r="J2" s="2">
        <v>67964886</v>
      </c>
      <c r="K2" s="2">
        <v>7476137</v>
      </c>
      <c r="L2" s="1">
        <v>0</v>
      </c>
      <c r="M2" s="1" t="s">
        <v>3</v>
      </c>
      <c r="N2" s="1" t="s">
        <v>167</v>
      </c>
      <c r="O2" s="1" t="s">
        <v>3</v>
      </c>
      <c r="P2" s="1" t="s">
        <v>4</v>
      </c>
      <c r="Q2" s="1" t="s">
        <v>168</v>
      </c>
      <c r="R2" s="1" t="s">
        <v>4</v>
      </c>
      <c r="S2" s="1"/>
    </row>
    <row r="3" spans="1:19" x14ac:dyDescent="0.25">
      <c r="A3" s="6">
        <v>2</v>
      </c>
      <c r="B3" s="1" t="s">
        <v>0</v>
      </c>
      <c r="C3" s="1" t="s">
        <v>1</v>
      </c>
      <c r="D3" s="1" t="s">
        <v>169</v>
      </c>
      <c r="E3" s="1" t="s">
        <v>166</v>
      </c>
      <c r="F3" s="1">
        <v>8</v>
      </c>
      <c r="G3" s="1">
        <v>2022</v>
      </c>
      <c r="H3" s="1" t="s">
        <v>2</v>
      </c>
      <c r="I3" s="1">
        <v>1</v>
      </c>
      <c r="J3" s="2">
        <v>76146443</v>
      </c>
      <c r="K3" s="2">
        <v>8376108</v>
      </c>
      <c r="L3" s="1">
        <v>0</v>
      </c>
      <c r="M3" s="1" t="s">
        <v>3</v>
      </c>
      <c r="N3" s="1" t="s">
        <v>170</v>
      </c>
      <c r="O3" s="1" t="s">
        <v>3</v>
      </c>
      <c r="P3" s="1" t="s">
        <v>4</v>
      </c>
      <c r="Q3" s="1" t="s">
        <v>171</v>
      </c>
      <c r="R3" s="1" t="s">
        <v>4</v>
      </c>
      <c r="S3" s="1"/>
    </row>
    <row r="4" spans="1:19" x14ac:dyDescent="0.25">
      <c r="A4" s="6">
        <v>3</v>
      </c>
      <c r="B4" s="1" t="s">
        <v>0</v>
      </c>
      <c r="C4" s="1" t="s">
        <v>1</v>
      </c>
      <c r="D4" s="1" t="s">
        <v>172</v>
      </c>
      <c r="E4" s="1" t="s">
        <v>166</v>
      </c>
      <c r="F4" s="1">
        <v>8</v>
      </c>
      <c r="G4" s="1">
        <v>2022</v>
      </c>
      <c r="H4" s="1" t="s">
        <v>2</v>
      </c>
      <c r="I4" s="1">
        <v>1</v>
      </c>
      <c r="J4" s="2">
        <v>20848702</v>
      </c>
      <c r="K4" s="2">
        <v>2293357</v>
      </c>
      <c r="L4" s="1">
        <v>0</v>
      </c>
      <c r="M4" s="1" t="s">
        <v>3</v>
      </c>
      <c r="N4" s="1" t="s">
        <v>167</v>
      </c>
      <c r="O4" s="1" t="s">
        <v>3</v>
      </c>
      <c r="P4" s="1" t="s">
        <v>4</v>
      </c>
      <c r="Q4" s="1" t="s">
        <v>173</v>
      </c>
      <c r="R4" s="1" t="s">
        <v>4</v>
      </c>
      <c r="S4" s="1"/>
    </row>
    <row r="5" spans="1:19" x14ac:dyDescent="0.25">
      <c r="A5" s="6">
        <v>4</v>
      </c>
      <c r="B5" s="1" t="s">
        <v>5</v>
      </c>
      <c r="C5" s="1" t="s">
        <v>6</v>
      </c>
      <c r="D5" s="1" t="s">
        <v>174</v>
      </c>
      <c r="E5" s="1" t="s">
        <v>166</v>
      </c>
      <c r="F5" s="1">
        <v>8</v>
      </c>
      <c r="G5" s="1">
        <v>2022</v>
      </c>
      <c r="H5" s="1" t="s">
        <v>2</v>
      </c>
      <c r="I5" s="1">
        <v>1</v>
      </c>
      <c r="J5" s="2">
        <v>52832003</v>
      </c>
      <c r="K5" s="2">
        <v>5811520</v>
      </c>
      <c r="L5" s="1">
        <v>0</v>
      </c>
      <c r="M5" s="1" t="s">
        <v>3</v>
      </c>
      <c r="N5" s="1" t="s">
        <v>170</v>
      </c>
      <c r="O5" s="1" t="s">
        <v>3</v>
      </c>
      <c r="P5" s="1" t="s">
        <v>4</v>
      </c>
      <c r="Q5" s="1" t="s">
        <v>175</v>
      </c>
      <c r="R5" s="1" t="s">
        <v>4</v>
      </c>
      <c r="S5" s="1"/>
    </row>
    <row r="6" spans="1:19" x14ac:dyDescent="0.25">
      <c r="A6" s="6">
        <v>5</v>
      </c>
      <c r="B6" s="1" t="s">
        <v>0</v>
      </c>
      <c r="C6" s="1" t="s">
        <v>1</v>
      </c>
      <c r="D6" s="1" t="s">
        <v>176</v>
      </c>
      <c r="E6" s="1" t="s">
        <v>177</v>
      </c>
      <c r="F6" s="1">
        <v>8</v>
      </c>
      <c r="G6" s="1">
        <v>2022</v>
      </c>
      <c r="H6" s="1" t="s">
        <v>2</v>
      </c>
      <c r="I6" s="1">
        <v>1</v>
      </c>
      <c r="J6" s="2">
        <v>31659041</v>
      </c>
      <c r="K6" s="2">
        <v>3482494</v>
      </c>
      <c r="L6" s="1">
        <v>0</v>
      </c>
      <c r="M6" s="1" t="s">
        <v>3</v>
      </c>
      <c r="N6" s="1" t="s">
        <v>167</v>
      </c>
      <c r="O6" s="1" t="s">
        <v>3</v>
      </c>
      <c r="P6" s="1" t="s">
        <v>4</v>
      </c>
      <c r="Q6" s="1" t="s">
        <v>178</v>
      </c>
      <c r="R6" s="1" t="s">
        <v>4</v>
      </c>
      <c r="S6" s="1"/>
    </row>
    <row r="7" spans="1:19" x14ac:dyDescent="0.25">
      <c r="A7" s="6">
        <v>6</v>
      </c>
      <c r="B7" s="1" t="s">
        <v>13</v>
      </c>
      <c r="C7" s="1" t="s">
        <v>14</v>
      </c>
      <c r="D7" s="1" t="s">
        <v>179</v>
      </c>
      <c r="E7" s="1" t="s">
        <v>177</v>
      </c>
      <c r="F7" s="1">
        <v>8</v>
      </c>
      <c r="G7" s="1">
        <v>2022</v>
      </c>
      <c r="H7" s="1" t="s">
        <v>2</v>
      </c>
      <c r="I7" s="1">
        <v>1</v>
      </c>
      <c r="J7" s="2">
        <v>16391351</v>
      </c>
      <c r="K7" s="2">
        <v>1803049</v>
      </c>
      <c r="L7" s="1">
        <v>0</v>
      </c>
      <c r="M7" s="1" t="s">
        <v>3</v>
      </c>
      <c r="N7" s="1" t="s">
        <v>170</v>
      </c>
      <c r="O7" s="1" t="s">
        <v>3</v>
      </c>
      <c r="P7" s="1" t="s">
        <v>4</v>
      </c>
      <c r="Q7" s="1" t="s">
        <v>180</v>
      </c>
      <c r="R7" s="1" t="s">
        <v>4</v>
      </c>
      <c r="S7" s="1"/>
    </row>
    <row r="8" spans="1:19" x14ac:dyDescent="0.25">
      <c r="A8" s="6">
        <v>7</v>
      </c>
      <c r="B8" s="1" t="s">
        <v>0</v>
      </c>
      <c r="C8" s="1" t="s">
        <v>1</v>
      </c>
      <c r="D8" s="1" t="s">
        <v>181</v>
      </c>
      <c r="E8" s="1" t="s">
        <v>182</v>
      </c>
      <c r="F8" s="1">
        <v>8</v>
      </c>
      <c r="G8" s="1">
        <v>2022</v>
      </c>
      <c r="H8" s="1" t="s">
        <v>2</v>
      </c>
      <c r="I8" s="1">
        <v>1</v>
      </c>
      <c r="J8" s="2">
        <v>33325621</v>
      </c>
      <c r="K8" s="2">
        <v>3665818</v>
      </c>
      <c r="L8" s="1">
        <v>0</v>
      </c>
      <c r="M8" s="1" t="s">
        <v>3</v>
      </c>
      <c r="N8" s="1" t="s">
        <v>170</v>
      </c>
      <c r="O8" s="1" t="s">
        <v>3</v>
      </c>
      <c r="P8" s="1" t="s">
        <v>4</v>
      </c>
      <c r="Q8" s="1" t="s">
        <v>183</v>
      </c>
      <c r="R8" s="1" t="s">
        <v>4</v>
      </c>
      <c r="S8" s="1"/>
    </row>
    <row r="9" spans="1:19" x14ac:dyDescent="0.25">
      <c r="A9" s="6">
        <v>8</v>
      </c>
      <c r="B9" s="1" t="s">
        <v>0</v>
      </c>
      <c r="C9" s="1" t="s">
        <v>1</v>
      </c>
      <c r="D9" s="1" t="s">
        <v>184</v>
      </c>
      <c r="E9" s="1" t="s">
        <v>182</v>
      </c>
      <c r="F9" s="1">
        <v>8</v>
      </c>
      <c r="G9" s="1">
        <v>2022</v>
      </c>
      <c r="H9" s="1" t="s">
        <v>2</v>
      </c>
      <c r="I9" s="1">
        <v>1</v>
      </c>
      <c r="J9" s="2">
        <v>1094702</v>
      </c>
      <c r="K9" s="2">
        <v>120417</v>
      </c>
      <c r="L9" s="1">
        <v>0</v>
      </c>
      <c r="M9" s="1" t="s">
        <v>3</v>
      </c>
      <c r="N9" s="1" t="s">
        <v>170</v>
      </c>
      <c r="O9" s="1" t="s">
        <v>3</v>
      </c>
      <c r="P9" s="1" t="s">
        <v>4</v>
      </c>
      <c r="Q9" s="1" t="s">
        <v>185</v>
      </c>
      <c r="R9" s="1" t="s">
        <v>4</v>
      </c>
      <c r="S9" s="1"/>
    </row>
    <row r="10" spans="1:19" x14ac:dyDescent="0.25">
      <c r="A10" s="6">
        <v>9</v>
      </c>
      <c r="B10" s="1" t="s">
        <v>0</v>
      </c>
      <c r="C10" s="1" t="s">
        <v>1</v>
      </c>
      <c r="D10" s="1" t="s">
        <v>186</v>
      </c>
      <c r="E10" s="1" t="s">
        <v>187</v>
      </c>
      <c r="F10" s="1">
        <v>8</v>
      </c>
      <c r="G10" s="1">
        <v>2022</v>
      </c>
      <c r="H10" s="1" t="s">
        <v>2</v>
      </c>
      <c r="I10" s="1">
        <v>1</v>
      </c>
      <c r="J10" s="2">
        <v>51155816</v>
      </c>
      <c r="K10" s="2">
        <v>5627139</v>
      </c>
      <c r="L10" s="1">
        <v>0</v>
      </c>
      <c r="M10" s="1" t="s">
        <v>3</v>
      </c>
      <c r="N10" s="1" t="s">
        <v>170</v>
      </c>
      <c r="O10" s="1" t="s">
        <v>3</v>
      </c>
      <c r="P10" s="1" t="s">
        <v>4</v>
      </c>
      <c r="Q10" s="1" t="s">
        <v>188</v>
      </c>
      <c r="R10" s="1" t="s">
        <v>4</v>
      </c>
      <c r="S10" s="1"/>
    </row>
    <row r="11" spans="1:19" x14ac:dyDescent="0.25">
      <c r="A11" s="6">
        <v>10</v>
      </c>
      <c r="B11" s="1" t="s">
        <v>9</v>
      </c>
      <c r="C11" s="1" t="s">
        <v>10</v>
      </c>
      <c r="D11" s="1" t="s">
        <v>189</v>
      </c>
      <c r="E11" s="1" t="s">
        <v>187</v>
      </c>
      <c r="F11" s="1">
        <v>8</v>
      </c>
      <c r="G11" s="1">
        <v>2022</v>
      </c>
      <c r="H11" s="1" t="s">
        <v>2</v>
      </c>
      <c r="I11" s="1">
        <v>1</v>
      </c>
      <c r="J11" s="2">
        <v>13584572</v>
      </c>
      <c r="K11" s="2">
        <v>1494302</v>
      </c>
      <c r="L11" s="1">
        <v>0</v>
      </c>
      <c r="M11" s="1" t="s">
        <v>3</v>
      </c>
      <c r="N11" s="1" t="s">
        <v>170</v>
      </c>
      <c r="O11" s="1" t="s">
        <v>3</v>
      </c>
      <c r="P11" s="1" t="s">
        <v>4</v>
      </c>
      <c r="Q11" s="1" t="s">
        <v>190</v>
      </c>
      <c r="R11" s="1" t="s">
        <v>4</v>
      </c>
      <c r="S11" s="1"/>
    </row>
    <row r="12" spans="1:19" x14ac:dyDescent="0.25">
      <c r="A12" s="6">
        <v>11</v>
      </c>
      <c r="B12" s="1" t="s">
        <v>0</v>
      </c>
      <c r="C12" s="1" t="s">
        <v>1</v>
      </c>
      <c r="D12" s="1" t="s">
        <v>191</v>
      </c>
      <c r="E12" s="1" t="s">
        <v>192</v>
      </c>
      <c r="F12" s="1">
        <v>8</v>
      </c>
      <c r="G12" s="1">
        <v>2022</v>
      </c>
      <c r="H12" s="1" t="s">
        <v>2</v>
      </c>
      <c r="I12" s="1">
        <v>1</v>
      </c>
      <c r="J12" s="2">
        <v>40792032</v>
      </c>
      <c r="K12" s="2">
        <v>4487123</v>
      </c>
      <c r="L12" s="1">
        <v>0</v>
      </c>
      <c r="M12" s="1" t="s">
        <v>3</v>
      </c>
      <c r="N12" s="1" t="s">
        <v>170</v>
      </c>
      <c r="O12" s="1" t="s">
        <v>3</v>
      </c>
      <c r="P12" s="1" t="s">
        <v>4</v>
      </c>
      <c r="Q12" s="1" t="s">
        <v>193</v>
      </c>
      <c r="R12" s="1" t="s">
        <v>4</v>
      </c>
      <c r="S12" s="1"/>
    </row>
    <row r="13" spans="1:19" x14ac:dyDescent="0.25">
      <c r="A13" s="6">
        <v>12</v>
      </c>
      <c r="B13" s="1" t="s">
        <v>5</v>
      </c>
      <c r="C13" s="1" t="s">
        <v>6</v>
      </c>
      <c r="D13" s="1" t="s">
        <v>194</v>
      </c>
      <c r="E13" s="1" t="s">
        <v>192</v>
      </c>
      <c r="F13" s="1">
        <v>8</v>
      </c>
      <c r="G13" s="1">
        <v>2022</v>
      </c>
      <c r="H13" s="1" t="s">
        <v>2</v>
      </c>
      <c r="I13" s="1">
        <v>1</v>
      </c>
      <c r="J13" s="2">
        <v>27462702</v>
      </c>
      <c r="K13" s="2">
        <v>3020897</v>
      </c>
      <c r="L13" s="1">
        <v>0</v>
      </c>
      <c r="M13" s="1" t="s">
        <v>3</v>
      </c>
      <c r="N13" s="1" t="s">
        <v>170</v>
      </c>
      <c r="O13" s="1" t="s">
        <v>3</v>
      </c>
      <c r="P13" s="1" t="s">
        <v>4</v>
      </c>
      <c r="Q13" s="1" t="s">
        <v>195</v>
      </c>
      <c r="R13" s="1" t="s">
        <v>4</v>
      </c>
      <c r="S13" s="1"/>
    </row>
    <row r="14" spans="1:19" x14ac:dyDescent="0.25">
      <c r="A14" s="6">
        <v>13</v>
      </c>
      <c r="B14" s="1" t="s">
        <v>5</v>
      </c>
      <c r="C14" s="1" t="s">
        <v>6</v>
      </c>
      <c r="D14" s="1" t="s">
        <v>196</v>
      </c>
      <c r="E14" s="1" t="s">
        <v>192</v>
      </c>
      <c r="F14" s="1">
        <v>8</v>
      </c>
      <c r="G14" s="1">
        <v>2022</v>
      </c>
      <c r="H14" s="1" t="s">
        <v>2</v>
      </c>
      <c r="I14" s="1">
        <v>1</v>
      </c>
      <c r="J14" s="2">
        <v>21542105</v>
      </c>
      <c r="K14" s="2">
        <v>2369631</v>
      </c>
      <c r="L14" s="1">
        <v>0</v>
      </c>
      <c r="M14" s="1" t="s">
        <v>3</v>
      </c>
      <c r="N14" s="1" t="s">
        <v>170</v>
      </c>
      <c r="O14" s="1" t="s">
        <v>3</v>
      </c>
      <c r="P14" s="1" t="s">
        <v>4</v>
      </c>
      <c r="Q14" s="1" t="s">
        <v>197</v>
      </c>
      <c r="R14" s="1" t="s">
        <v>4</v>
      </c>
      <c r="S14" s="1"/>
    </row>
    <row r="15" spans="1:19" x14ac:dyDescent="0.25">
      <c r="A15" s="6">
        <v>14</v>
      </c>
      <c r="B15" s="1" t="s">
        <v>0</v>
      </c>
      <c r="C15" s="1" t="s">
        <v>1</v>
      </c>
      <c r="D15" s="1" t="s">
        <v>198</v>
      </c>
      <c r="E15" s="1" t="s">
        <v>199</v>
      </c>
      <c r="F15" s="1">
        <v>8</v>
      </c>
      <c r="G15" s="1">
        <v>2022</v>
      </c>
      <c r="H15" s="1" t="s">
        <v>2</v>
      </c>
      <c r="I15" s="1">
        <v>1</v>
      </c>
      <c r="J15" s="2">
        <v>15319556</v>
      </c>
      <c r="K15" s="2">
        <v>1685151</v>
      </c>
      <c r="L15" s="1">
        <v>0</v>
      </c>
      <c r="M15" s="1" t="s">
        <v>3</v>
      </c>
      <c r="N15" s="1" t="s">
        <v>200</v>
      </c>
      <c r="O15" s="1" t="s">
        <v>3</v>
      </c>
      <c r="P15" s="1" t="s">
        <v>4</v>
      </c>
      <c r="Q15" s="1" t="s">
        <v>201</v>
      </c>
      <c r="R15" s="1" t="s">
        <v>4</v>
      </c>
      <c r="S15" s="1"/>
    </row>
    <row r="16" spans="1:19" x14ac:dyDescent="0.25">
      <c r="A16" s="6">
        <v>15</v>
      </c>
      <c r="B16" s="1" t="s">
        <v>0</v>
      </c>
      <c r="C16" s="1" t="s">
        <v>1</v>
      </c>
      <c r="D16" s="1" t="s">
        <v>202</v>
      </c>
      <c r="E16" s="1" t="s">
        <v>199</v>
      </c>
      <c r="F16" s="1">
        <v>8</v>
      </c>
      <c r="G16" s="1">
        <v>2022</v>
      </c>
      <c r="H16" s="1" t="s">
        <v>2</v>
      </c>
      <c r="I16" s="1">
        <v>1</v>
      </c>
      <c r="J16" s="2">
        <v>4292670</v>
      </c>
      <c r="K16" s="2">
        <v>472193</v>
      </c>
      <c r="L16" s="1">
        <v>0</v>
      </c>
      <c r="M16" s="1" t="s">
        <v>3</v>
      </c>
      <c r="N16" s="1" t="s">
        <v>200</v>
      </c>
      <c r="O16" s="1" t="s">
        <v>3</v>
      </c>
      <c r="P16" s="1" t="s">
        <v>4</v>
      </c>
      <c r="Q16" s="1" t="s">
        <v>203</v>
      </c>
      <c r="R16" s="1" t="s">
        <v>4</v>
      </c>
      <c r="S16" s="1"/>
    </row>
    <row r="17" spans="1:19" x14ac:dyDescent="0.25">
      <c r="A17" s="6">
        <v>16</v>
      </c>
      <c r="B17" s="1" t="s">
        <v>5</v>
      </c>
      <c r="C17" s="1" t="s">
        <v>6</v>
      </c>
      <c r="D17" s="1" t="s">
        <v>204</v>
      </c>
      <c r="E17" s="1" t="s">
        <v>199</v>
      </c>
      <c r="F17" s="1">
        <v>8</v>
      </c>
      <c r="G17" s="1">
        <v>2022</v>
      </c>
      <c r="H17" s="1" t="s">
        <v>2</v>
      </c>
      <c r="I17" s="1">
        <v>1</v>
      </c>
      <c r="J17" s="2">
        <v>11780534</v>
      </c>
      <c r="K17" s="2">
        <v>1295858</v>
      </c>
      <c r="L17" s="1">
        <v>0</v>
      </c>
      <c r="M17" s="1" t="s">
        <v>3</v>
      </c>
      <c r="N17" s="1" t="s">
        <v>200</v>
      </c>
      <c r="O17" s="1" t="s">
        <v>3</v>
      </c>
      <c r="P17" s="1" t="s">
        <v>4</v>
      </c>
      <c r="Q17" s="1" t="s">
        <v>205</v>
      </c>
      <c r="R17" s="1" t="s">
        <v>4</v>
      </c>
      <c r="S17" s="1"/>
    </row>
    <row r="18" spans="1:19" x14ac:dyDescent="0.25">
      <c r="A18" s="6">
        <v>17</v>
      </c>
      <c r="B18" s="1" t="s">
        <v>5</v>
      </c>
      <c r="C18" s="1" t="s">
        <v>6</v>
      </c>
      <c r="D18" s="1" t="s">
        <v>206</v>
      </c>
      <c r="E18" s="1" t="s">
        <v>199</v>
      </c>
      <c r="F18" s="1">
        <v>8</v>
      </c>
      <c r="G18" s="1">
        <v>2022</v>
      </c>
      <c r="H18" s="1" t="s">
        <v>2</v>
      </c>
      <c r="I18" s="1">
        <v>1</v>
      </c>
      <c r="J18" s="2">
        <v>45075317</v>
      </c>
      <c r="K18" s="2">
        <v>4958284</v>
      </c>
      <c r="L18" s="1">
        <v>0</v>
      </c>
      <c r="M18" s="1" t="s">
        <v>3</v>
      </c>
      <c r="N18" s="1" t="s">
        <v>200</v>
      </c>
      <c r="O18" s="1" t="s">
        <v>3</v>
      </c>
      <c r="P18" s="1" t="s">
        <v>4</v>
      </c>
      <c r="Q18" s="1" t="s">
        <v>207</v>
      </c>
      <c r="R18" s="1" t="s">
        <v>4</v>
      </c>
      <c r="S18" s="1"/>
    </row>
    <row r="19" spans="1:19" x14ac:dyDescent="0.25">
      <c r="A19" s="6">
        <v>18</v>
      </c>
      <c r="B19" s="1" t="s">
        <v>0</v>
      </c>
      <c r="C19" s="1" t="s">
        <v>1</v>
      </c>
      <c r="D19" s="1" t="s">
        <v>208</v>
      </c>
      <c r="E19" s="1" t="s">
        <v>209</v>
      </c>
      <c r="F19" s="1">
        <v>8</v>
      </c>
      <c r="G19" s="1">
        <v>2022</v>
      </c>
      <c r="H19" s="1" t="s">
        <v>2</v>
      </c>
      <c r="I19" s="1">
        <v>1</v>
      </c>
      <c r="J19" s="2">
        <v>57080558</v>
      </c>
      <c r="K19" s="2">
        <v>6278861</v>
      </c>
      <c r="L19" s="1">
        <v>0</v>
      </c>
      <c r="M19" s="1" t="s">
        <v>3</v>
      </c>
      <c r="N19" s="1" t="s">
        <v>200</v>
      </c>
      <c r="O19" s="1" t="s">
        <v>3</v>
      </c>
      <c r="P19" s="1" t="s">
        <v>4</v>
      </c>
      <c r="Q19" s="1" t="s">
        <v>210</v>
      </c>
      <c r="R19" s="1" t="s">
        <v>4</v>
      </c>
      <c r="S19" s="1"/>
    </row>
    <row r="20" spans="1:19" x14ac:dyDescent="0.25">
      <c r="A20" s="6">
        <v>19</v>
      </c>
      <c r="B20" s="1" t="s">
        <v>0</v>
      </c>
      <c r="C20" s="1" t="s">
        <v>1</v>
      </c>
      <c r="D20" s="1" t="s">
        <v>211</v>
      </c>
      <c r="E20" s="1" t="s">
        <v>212</v>
      </c>
      <c r="F20" s="1">
        <v>8</v>
      </c>
      <c r="G20" s="1">
        <v>2022</v>
      </c>
      <c r="H20" s="1" t="s">
        <v>2</v>
      </c>
      <c r="I20" s="1">
        <v>1</v>
      </c>
      <c r="J20" s="2">
        <v>8868886</v>
      </c>
      <c r="K20" s="2">
        <v>975577</v>
      </c>
      <c r="L20" s="1">
        <v>0</v>
      </c>
      <c r="M20" s="1" t="s">
        <v>3</v>
      </c>
      <c r="N20" s="1" t="s">
        <v>200</v>
      </c>
      <c r="O20" s="1" t="s">
        <v>3</v>
      </c>
      <c r="P20" s="1" t="s">
        <v>4</v>
      </c>
      <c r="Q20" s="1" t="s">
        <v>213</v>
      </c>
      <c r="R20" s="1" t="s">
        <v>4</v>
      </c>
      <c r="S20" s="1"/>
    </row>
    <row r="21" spans="1:19" x14ac:dyDescent="0.25">
      <c r="A21" s="6">
        <v>20</v>
      </c>
      <c r="B21" s="1" t="s">
        <v>0</v>
      </c>
      <c r="C21" s="1" t="s">
        <v>1</v>
      </c>
      <c r="D21" s="1" t="s">
        <v>214</v>
      </c>
      <c r="E21" s="1" t="s">
        <v>212</v>
      </c>
      <c r="F21" s="1">
        <v>8</v>
      </c>
      <c r="G21" s="1">
        <v>2022</v>
      </c>
      <c r="H21" s="1" t="s">
        <v>2</v>
      </c>
      <c r="I21" s="1">
        <v>1</v>
      </c>
      <c r="J21" s="2">
        <v>8915545</v>
      </c>
      <c r="K21" s="2">
        <v>980710</v>
      </c>
      <c r="L21" s="1">
        <v>0</v>
      </c>
      <c r="M21" s="1" t="s">
        <v>3</v>
      </c>
      <c r="N21" s="1" t="s">
        <v>200</v>
      </c>
      <c r="O21" s="1" t="s">
        <v>3</v>
      </c>
      <c r="P21" s="1" t="s">
        <v>4</v>
      </c>
      <c r="Q21" s="1" t="s">
        <v>215</v>
      </c>
      <c r="R21" s="1" t="s">
        <v>4</v>
      </c>
      <c r="S21" s="1"/>
    </row>
    <row r="22" spans="1:19" x14ac:dyDescent="0.25">
      <c r="A22" s="6">
        <v>21</v>
      </c>
      <c r="B22" s="1" t="s">
        <v>13</v>
      </c>
      <c r="C22" s="1" t="s">
        <v>14</v>
      </c>
      <c r="D22" s="1" t="s">
        <v>216</v>
      </c>
      <c r="E22" s="1" t="s">
        <v>212</v>
      </c>
      <c r="F22" s="1">
        <v>8</v>
      </c>
      <c r="G22" s="1">
        <v>2022</v>
      </c>
      <c r="H22" s="1" t="s">
        <v>2</v>
      </c>
      <c r="I22" s="1">
        <v>1</v>
      </c>
      <c r="J22" s="2">
        <v>9243243</v>
      </c>
      <c r="K22" s="2">
        <v>1016757</v>
      </c>
      <c r="L22" s="1">
        <v>0</v>
      </c>
      <c r="M22" s="1" t="s">
        <v>3</v>
      </c>
      <c r="N22" s="1" t="s">
        <v>200</v>
      </c>
      <c r="O22" s="1" t="s">
        <v>3</v>
      </c>
      <c r="P22" s="1" t="s">
        <v>4</v>
      </c>
      <c r="Q22" s="1" t="s">
        <v>217</v>
      </c>
      <c r="R22" s="1" t="s">
        <v>4</v>
      </c>
      <c r="S22" s="1"/>
    </row>
    <row r="23" spans="1:19" x14ac:dyDescent="0.25">
      <c r="A23" s="6">
        <v>22</v>
      </c>
      <c r="B23" s="1" t="s">
        <v>5</v>
      </c>
      <c r="C23" s="1" t="s">
        <v>6</v>
      </c>
      <c r="D23" s="1" t="s">
        <v>218</v>
      </c>
      <c r="E23" s="1" t="s">
        <v>212</v>
      </c>
      <c r="F23" s="1">
        <v>8</v>
      </c>
      <c r="G23" s="1">
        <v>2022</v>
      </c>
      <c r="H23" s="1" t="s">
        <v>2</v>
      </c>
      <c r="I23" s="1">
        <v>1</v>
      </c>
      <c r="J23" s="2">
        <v>23343297</v>
      </c>
      <c r="K23" s="2">
        <v>2567762</v>
      </c>
      <c r="L23" s="1">
        <v>0</v>
      </c>
      <c r="M23" s="1" t="s">
        <v>3</v>
      </c>
      <c r="N23" s="1" t="s">
        <v>200</v>
      </c>
      <c r="O23" s="1" t="s">
        <v>3</v>
      </c>
      <c r="P23" s="1" t="s">
        <v>4</v>
      </c>
      <c r="Q23" s="1" t="s">
        <v>219</v>
      </c>
      <c r="R23" s="1" t="s">
        <v>4</v>
      </c>
      <c r="S23" s="1"/>
    </row>
    <row r="24" spans="1:19" x14ac:dyDescent="0.25">
      <c r="A24" s="6">
        <v>23</v>
      </c>
      <c r="B24" s="1" t="s">
        <v>0</v>
      </c>
      <c r="C24" s="1" t="s">
        <v>1</v>
      </c>
      <c r="D24" s="1" t="s">
        <v>220</v>
      </c>
      <c r="E24" s="1" t="s">
        <v>221</v>
      </c>
      <c r="F24" s="1">
        <v>8</v>
      </c>
      <c r="G24" s="1">
        <v>2022</v>
      </c>
      <c r="H24" s="1" t="s">
        <v>2</v>
      </c>
      <c r="I24" s="1">
        <v>1</v>
      </c>
      <c r="J24" s="2">
        <v>28036054</v>
      </c>
      <c r="K24" s="2">
        <v>3083965</v>
      </c>
      <c r="L24" s="1">
        <v>0</v>
      </c>
      <c r="M24" s="1" t="s">
        <v>3</v>
      </c>
      <c r="N24" s="1" t="s">
        <v>200</v>
      </c>
      <c r="O24" s="1" t="s">
        <v>3</v>
      </c>
      <c r="P24" s="1" t="s">
        <v>4</v>
      </c>
      <c r="Q24" s="1" t="s">
        <v>222</v>
      </c>
      <c r="R24" s="1" t="s">
        <v>4</v>
      </c>
      <c r="S24" s="1"/>
    </row>
    <row r="25" spans="1:19" x14ac:dyDescent="0.25">
      <c r="A25" s="6">
        <v>24</v>
      </c>
      <c r="B25" s="1" t="s">
        <v>0</v>
      </c>
      <c r="C25" s="1" t="s">
        <v>1</v>
      </c>
      <c r="D25" s="1" t="s">
        <v>223</v>
      </c>
      <c r="E25" s="1" t="s">
        <v>224</v>
      </c>
      <c r="F25" s="1">
        <v>8</v>
      </c>
      <c r="G25" s="1">
        <v>2022</v>
      </c>
      <c r="H25" s="1" t="s">
        <v>2</v>
      </c>
      <c r="I25" s="1">
        <v>1</v>
      </c>
      <c r="J25" s="2">
        <v>40378378</v>
      </c>
      <c r="K25" s="2">
        <v>4441621</v>
      </c>
      <c r="L25" s="1">
        <v>0</v>
      </c>
      <c r="M25" s="1" t="s">
        <v>3</v>
      </c>
      <c r="N25" s="1" t="s">
        <v>225</v>
      </c>
      <c r="O25" s="1" t="s">
        <v>3</v>
      </c>
      <c r="P25" s="1" t="s">
        <v>4</v>
      </c>
      <c r="Q25" s="1" t="s">
        <v>226</v>
      </c>
      <c r="R25" s="1" t="s">
        <v>4</v>
      </c>
      <c r="S25" s="1"/>
    </row>
    <row r="26" spans="1:19" x14ac:dyDescent="0.25">
      <c r="A26" s="6">
        <v>25</v>
      </c>
      <c r="B26" s="1" t="s">
        <v>5</v>
      </c>
      <c r="C26" s="1" t="s">
        <v>6</v>
      </c>
      <c r="D26" s="1" t="s">
        <v>227</v>
      </c>
      <c r="E26" s="1" t="s">
        <v>224</v>
      </c>
      <c r="F26" s="1">
        <v>8</v>
      </c>
      <c r="G26" s="1">
        <v>2022</v>
      </c>
      <c r="H26" s="1" t="s">
        <v>2</v>
      </c>
      <c r="I26" s="1">
        <v>1</v>
      </c>
      <c r="J26" s="2">
        <v>26492162</v>
      </c>
      <c r="K26" s="2">
        <v>2914137</v>
      </c>
      <c r="L26" s="1">
        <v>0</v>
      </c>
      <c r="M26" s="1" t="s">
        <v>3</v>
      </c>
      <c r="N26" s="1" t="s">
        <v>225</v>
      </c>
      <c r="O26" s="1" t="s">
        <v>3</v>
      </c>
      <c r="P26" s="1" t="s">
        <v>4</v>
      </c>
      <c r="Q26" s="1" t="s">
        <v>228</v>
      </c>
      <c r="R26" s="1" t="s">
        <v>4</v>
      </c>
      <c r="S26" s="1"/>
    </row>
    <row r="27" spans="1:19" x14ac:dyDescent="0.25">
      <c r="A27" s="6">
        <v>26</v>
      </c>
      <c r="B27" s="1" t="s">
        <v>5</v>
      </c>
      <c r="C27" s="1" t="s">
        <v>6</v>
      </c>
      <c r="D27" s="1" t="s">
        <v>229</v>
      </c>
      <c r="E27" s="1" t="s">
        <v>224</v>
      </c>
      <c r="F27" s="1">
        <v>8</v>
      </c>
      <c r="G27" s="1">
        <v>2022</v>
      </c>
      <c r="H27" s="1" t="s">
        <v>2</v>
      </c>
      <c r="I27" s="1">
        <v>1</v>
      </c>
      <c r="J27" s="2">
        <v>48376054</v>
      </c>
      <c r="K27" s="2">
        <v>5321365</v>
      </c>
      <c r="L27" s="1">
        <v>0</v>
      </c>
      <c r="M27" s="1" t="s">
        <v>3</v>
      </c>
      <c r="N27" s="1" t="s">
        <v>225</v>
      </c>
      <c r="O27" s="1" t="s">
        <v>3</v>
      </c>
      <c r="P27" s="1" t="s">
        <v>4</v>
      </c>
      <c r="Q27" s="1" t="s">
        <v>230</v>
      </c>
      <c r="R27" s="1" t="s">
        <v>4</v>
      </c>
      <c r="S27" s="1"/>
    </row>
    <row r="28" spans="1:19" x14ac:dyDescent="0.25">
      <c r="A28" s="6">
        <v>27</v>
      </c>
      <c r="B28" s="1" t="s">
        <v>0</v>
      </c>
      <c r="C28" s="1" t="s">
        <v>1</v>
      </c>
      <c r="D28" s="1" t="s">
        <v>231</v>
      </c>
      <c r="E28" s="1" t="s">
        <v>232</v>
      </c>
      <c r="F28" s="1">
        <v>8</v>
      </c>
      <c r="G28" s="1">
        <v>2022</v>
      </c>
      <c r="H28" s="1" t="s">
        <v>2</v>
      </c>
      <c r="I28" s="1">
        <v>1</v>
      </c>
      <c r="J28" s="2">
        <v>32448064</v>
      </c>
      <c r="K28" s="2">
        <v>3569287</v>
      </c>
      <c r="L28" s="1">
        <v>0</v>
      </c>
      <c r="M28" s="1" t="s">
        <v>3</v>
      </c>
      <c r="N28" s="1" t="s">
        <v>225</v>
      </c>
      <c r="O28" s="1" t="s">
        <v>3</v>
      </c>
      <c r="P28" s="1" t="s">
        <v>4</v>
      </c>
      <c r="Q28" s="1" t="s">
        <v>233</v>
      </c>
      <c r="R28" s="1" t="s">
        <v>4</v>
      </c>
      <c r="S28" s="1"/>
    </row>
    <row r="29" spans="1:19" x14ac:dyDescent="0.25">
      <c r="A29" s="6">
        <v>28</v>
      </c>
      <c r="B29" s="1" t="s">
        <v>0</v>
      </c>
      <c r="C29" s="1" t="s">
        <v>1</v>
      </c>
      <c r="D29" s="1" t="s">
        <v>234</v>
      </c>
      <c r="E29" s="1" t="s">
        <v>232</v>
      </c>
      <c r="F29" s="1">
        <v>8</v>
      </c>
      <c r="G29" s="1">
        <v>2022</v>
      </c>
      <c r="H29" s="1" t="s">
        <v>2</v>
      </c>
      <c r="I29" s="1">
        <v>1</v>
      </c>
      <c r="J29" s="2">
        <v>45331459</v>
      </c>
      <c r="K29" s="2">
        <v>4986460</v>
      </c>
      <c r="L29" s="1">
        <v>0</v>
      </c>
      <c r="M29" s="1" t="s">
        <v>3</v>
      </c>
      <c r="N29" s="1" t="s">
        <v>225</v>
      </c>
      <c r="O29" s="1" t="s">
        <v>3</v>
      </c>
      <c r="P29" s="1" t="s">
        <v>4</v>
      </c>
      <c r="Q29" s="1" t="s">
        <v>235</v>
      </c>
      <c r="R29" s="1" t="s">
        <v>4</v>
      </c>
      <c r="S29" s="1"/>
    </row>
    <row r="30" spans="1:19" x14ac:dyDescent="0.25">
      <c r="A30" s="6">
        <v>29</v>
      </c>
      <c r="B30" s="1" t="s">
        <v>5</v>
      </c>
      <c r="C30" s="1" t="s">
        <v>6</v>
      </c>
      <c r="D30" s="1" t="s">
        <v>236</v>
      </c>
      <c r="E30" s="1" t="s">
        <v>232</v>
      </c>
      <c r="F30" s="1">
        <v>8</v>
      </c>
      <c r="G30" s="1">
        <v>2022</v>
      </c>
      <c r="H30" s="1" t="s">
        <v>2</v>
      </c>
      <c r="I30" s="1">
        <v>1</v>
      </c>
      <c r="J30" s="2">
        <v>13910182</v>
      </c>
      <c r="K30" s="2">
        <v>1530120</v>
      </c>
      <c r="L30" s="1">
        <v>0</v>
      </c>
      <c r="M30" s="1" t="s">
        <v>3</v>
      </c>
      <c r="N30" s="1" t="s">
        <v>225</v>
      </c>
      <c r="O30" s="1" t="s">
        <v>3</v>
      </c>
      <c r="P30" s="1" t="s">
        <v>4</v>
      </c>
      <c r="Q30" s="1" t="s">
        <v>237</v>
      </c>
      <c r="R30" s="1" t="s">
        <v>4</v>
      </c>
      <c r="S30" s="1"/>
    </row>
    <row r="31" spans="1:19" x14ac:dyDescent="0.25">
      <c r="A31" s="6">
        <v>30</v>
      </c>
      <c r="B31" s="1" t="s">
        <v>5</v>
      </c>
      <c r="C31" s="1" t="s">
        <v>6</v>
      </c>
      <c r="D31" s="1" t="s">
        <v>238</v>
      </c>
      <c r="E31" s="1" t="s">
        <v>232</v>
      </c>
      <c r="F31" s="1">
        <v>8</v>
      </c>
      <c r="G31" s="1">
        <v>2022</v>
      </c>
      <c r="H31" s="1" t="s">
        <v>2</v>
      </c>
      <c r="I31" s="1">
        <v>1</v>
      </c>
      <c r="J31" s="2">
        <v>15973479</v>
      </c>
      <c r="K31" s="2">
        <v>1757082</v>
      </c>
      <c r="L31" s="1">
        <v>0</v>
      </c>
      <c r="M31" s="1" t="s">
        <v>3</v>
      </c>
      <c r="N31" s="1" t="s">
        <v>225</v>
      </c>
      <c r="O31" s="1" t="s">
        <v>3</v>
      </c>
      <c r="P31" s="1" t="s">
        <v>4</v>
      </c>
      <c r="Q31" s="1" t="s">
        <v>239</v>
      </c>
      <c r="R31" s="1" t="s">
        <v>4</v>
      </c>
      <c r="S31" s="1"/>
    </row>
    <row r="32" spans="1:19" x14ac:dyDescent="0.25">
      <c r="A32" s="6">
        <v>31</v>
      </c>
      <c r="B32" s="1" t="s">
        <v>0</v>
      </c>
      <c r="C32" s="1" t="s">
        <v>1</v>
      </c>
      <c r="D32" s="1" t="s">
        <v>240</v>
      </c>
      <c r="E32" s="1" t="s">
        <v>241</v>
      </c>
      <c r="F32" s="1">
        <v>8</v>
      </c>
      <c r="G32" s="1">
        <v>2022</v>
      </c>
      <c r="H32" s="1" t="s">
        <v>2</v>
      </c>
      <c r="I32" s="1">
        <v>1</v>
      </c>
      <c r="J32" s="2">
        <v>35483621</v>
      </c>
      <c r="K32" s="2">
        <v>3903198</v>
      </c>
      <c r="L32" s="1">
        <v>0</v>
      </c>
      <c r="M32" s="1" t="s">
        <v>3</v>
      </c>
      <c r="N32" s="1" t="s">
        <v>225</v>
      </c>
      <c r="O32" s="1" t="s">
        <v>3</v>
      </c>
      <c r="P32" s="1" t="s">
        <v>4</v>
      </c>
      <c r="Q32" s="1" t="s">
        <v>242</v>
      </c>
      <c r="R32" s="1" t="s">
        <v>4</v>
      </c>
      <c r="S32" s="1"/>
    </row>
    <row r="33" spans="1:19" x14ac:dyDescent="0.25">
      <c r="A33" s="6">
        <v>32</v>
      </c>
      <c r="B33" s="1" t="s">
        <v>0</v>
      </c>
      <c r="C33" s="1" t="s">
        <v>1</v>
      </c>
      <c r="D33" s="1" t="s">
        <v>243</v>
      </c>
      <c r="E33" s="1" t="s">
        <v>241</v>
      </c>
      <c r="F33" s="1">
        <v>8</v>
      </c>
      <c r="G33" s="1">
        <v>2022</v>
      </c>
      <c r="H33" s="1" t="s">
        <v>2</v>
      </c>
      <c r="I33" s="1">
        <v>1</v>
      </c>
      <c r="J33" s="2">
        <v>8740872</v>
      </c>
      <c r="K33" s="2">
        <v>961495</v>
      </c>
      <c r="L33" s="1">
        <v>0</v>
      </c>
      <c r="M33" s="1" t="s">
        <v>3</v>
      </c>
      <c r="N33" s="1" t="s">
        <v>225</v>
      </c>
      <c r="O33" s="1" t="s">
        <v>3</v>
      </c>
      <c r="P33" s="1" t="s">
        <v>4</v>
      </c>
      <c r="Q33" s="1" t="s">
        <v>244</v>
      </c>
      <c r="R33" s="1" t="s">
        <v>4</v>
      </c>
      <c r="S33" s="1"/>
    </row>
    <row r="34" spans="1:19" x14ac:dyDescent="0.25">
      <c r="A34" s="6">
        <v>33</v>
      </c>
      <c r="B34" s="1" t="s">
        <v>0</v>
      </c>
      <c r="C34" s="1" t="s">
        <v>1</v>
      </c>
      <c r="D34" s="1" t="s">
        <v>245</v>
      </c>
      <c r="E34" s="1" t="s">
        <v>246</v>
      </c>
      <c r="F34" s="1">
        <v>8</v>
      </c>
      <c r="G34" s="1">
        <v>2022</v>
      </c>
      <c r="H34" s="1" t="s">
        <v>2</v>
      </c>
      <c r="I34" s="1">
        <v>1</v>
      </c>
      <c r="J34" s="2">
        <v>16847205</v>
      </c>
      <c r="K34" s="2">
        <v>1853192</v>
      </c>
      <c r="L34" s="1">
        <v>0</v>
      </c>
      <c r="M34" s="1" t="s">
        <v>3</v>
      </c>
      <c r="N34" s="1" t="s">
        <v>225</v>
      </c>
      <c r="O34" s="1" t="s">
        <v>3</v>
      </c>
      <c r="P34" s="1" t="s">
        <v>4</v>
      </c>
      <c r="Q34" s="1" t="s">
        <v>247</v>
      </c>
      <c r="R34" s="1" t="s">
        <v>4</v>
      </c>
      <c r="S34" s="1"/>
    </row>
    <row r="35" spans="1:19" x14ac:dyDescent="0.25">
      <c r="A35" s="6">
        <v>34</v>
      </c>
      <c r="B35" s="1" t="s">
        <v>5</v>
      </c>
      <c r="C35" s="1" t="s">
        <v>6</v>
      </c>
      <c r="D35" s="1" t="s">
        <v>248</v>
      </c>
      <c r="E35" s="1" t="s">
        <v>249</v>
      </c>
      <c r="F35" s="1">
        <v>8</v>
      </c>
      <c r="G35" s="1">
        <v>2022</v>
      </c>
      <c r="H35" s="1" t="s">
        <v>2</v>
      </c>
      <c r="I35" s="1">
        <v>1</v>
      </c>
      <c r="J35" s="2">
        <v>11937648</v>
      </c>
      <c r="K35" s="2">
        <v>1313141</v>
      </c>
      <c r="L35" s="1">
        <v>0</v>
      </c>
      <c r="M35" s="1" t="s">
        <v>3</v>
      </c>
      <c r="N35" s="1" t="s">
        <v>225</v>
      </c>
      <c r="O35" s="1" t="s">
        <v>3</v>
      </c>
      <c r="P35" s="1" t="s">
        <v>4</v>
      </c>
      <c r="Q35" s="1" t="s">
        <v>250</v>
      </c>
      <c r="R35" s="1" t="s">
        <v>4</v>
      </c>
      <c r="S35" s="1"/>
    </row>
    <row r="36" spans="1:19" x14ac:dyDescent="0.25">
      <c r="A36" s="6">
        <v>35</v>
      </c>
      <c r="B36" s="1" t="s">
        <v>5</v>
      </c>
      <c r="C36" s="1" t="s">
        <v>6</v>
      </c>
      <c r="D36" s="1" t="s">
        <v>251</v>
      </c>
      <c r="E36" s="1" t="s">
        <v>249</v>
      </c>
      <c r="F36" s="1">
        <v>8</v>
      </c>
      <c r="G36" s="1">
        <v>2022</v>
      </c>
      <c r="H36" s="1" t="s">
        <v>2</v>
      </c>
      <c r="I36" s="1">
        <v>1</v>
      </c>
      <c r="J36" s="2">
        <v>15591554</v>
      </c>
      <c r="K36" s="2">
        <v>1715070</v>
      </c>
      <c r="L36" s="1">
        <v>0</v>
      </c>
      <c r="M36" s="1" t="s">
        <v>3</v>
      </c>
      <c r="N36" s="1" t="s">
        <v>252</v>
      </c>
      <c r="O36" s="1" t="s">
        <v>3</v>
      </c>
      <c r="P36" s="1" t="s">
        <v>4</v>
      </c>
      <c r="Q36" s="1" t="s">
        <v>253</v>
      </c>
      <c r="R36" s="1" t="s">
        <v>4</v>
      </c>
      <c r="S36" s="1"/>
    </row>
    <row r="37" spans="1:19" x14ac:dyDescent="0.25">
      <c r="A37" s="6">
        <v>36</v>
      </c>
      <c r="B37" s="1" t="s">
        <v>0</v>
      </c>
      <c r="C37" s="1" t="s">
        <v>1</v>
      </c>
      <c r="D37" s="1" t="s">
        <v>254</v>
      </c>
      <c r="E37" s="1" t="s">
        <v>255</v>
      </c>
      <c r="F37" s="1">
        <v>8</v>
      </c>
      <c r="G37" s="1">
        <v>2022</v>
      </c>
      <c r="H37" s="1" t="s">
        <v>2</v>
      </c>
      <c r="I37" s="1">
        <v>1</v>
      </c>
      <c r="J37" s="2">
        <v>60638753</v>
      </c>
      <c r="K37" s="2">
        <v>6670262</v>
      </c>
      <c r="L37" s="1">
        <v>0</v>
      </c>
      <c r="M37" s="1" t="s">
        <v>3</v>
      </c>
      <c r="N37" s="1" t="s">
        <v>252</v>
      </c>
      <c r="O37" s="1" t="s">
        <v>3</v>
      </c>
      <c r="P37" s="1" t="s">
        <v>4</v>
      </c>
      <c r="Q37" s="1" t="s">
        <v>256</v>
      </c>
      <c r="R37" s="1" t="s">
        <v>4</v>
      </c>
      <c r="S37" s="1"/>
    </row>
    <row r="38" spans="1:19" x14ac:dyDescent="0.25">
      <c r="A38" s="6">
        <v>37</v>
      </c>
      <c r="B38" s="1" t="s">
        <v>0</v>
      </c>
      <c r="C38" s="1" t="s">
        <v>1</v>
      </c>
      <c r="D38" s="1" t="s">
        <v>257</v>
      </c>
      <c r="E38" s="1" t="s">
        <v>255</v>
      </c>
      <c r="F38" s="1">
        <v>8</v>
      </c>
      <c r="G38" s="1">
        <v>2022</v>
      </c>
      <c r="H38" s="1" t="s">
        <v>2</v>
      </c>
      <c r="I38" s="1">
        <v>1</v>
      </c>
      <c r="J38" s="2">
        <v>6115081</v>
      </c>
      <c r="K38" s="2">
        <v>672658</v>
      </c>
      <c r="L38" s="1">
        <v>0</v>
      </c>
      <c r="M38" s="1" t="s">
        <v>3</v>
      </c>
      <c r="N38" s="1" t="s">
        <v>252</v>
      </c>
      <c r="O38" s="1" t="s">
        <v>3</v>
      </c>
      <c r="P38" s="1" t="s">
        <v>4</v>
      </c>
      <c r="Q38" s="1" t="s">
        <v>258</v>
      </c>
      <c r="R38" s="1" t="s">
        <v>4</v>
      </c>
      <c r="S38" s="1"/>
    </row>
    <row r="39" spans="1:19" x14ac:dyDescent="0.25">
      <c r="A39" s="6">
        <v>38</v>
      </c>
      <c r="B39" s="1" t="s">
        <v>0</v>
      </c>
      <c r="C39" s="1" t="s">
        <v>1</v>
      </c>
      <c r="D39" s="1" t="s">
        <v>259</v>
      </c>
      <c r="E39" s="1" t="s">
        <v>255</v>
      </c>
      <c r="F39" s="1">
        <v>8</v>
      </c>
      <c r="G39" s="1">
        <v>2022</v>
      </c>
      <c r="H39" s="1" t="s">
        <v>2</v>
      </c>
      <c r="I39" s="1">
        <v>1</v>
      </c>
      <c r="J39" s="2">
        <v>13373318</v>
      </c>
      <c r="K39" s="2">
        <v>1471065</v>
      </c>
      <c r="L39" s="1">
        <v>0</v>
      </c>
      <c r="M39" s="1" t="s">
        <v>3</v>
      </c>
      <c r="N39" s="1" t="s">
        <v>252</v>
      </c>
      <c r="O39" s="1" t="s">
        <v>3</v>
      </c>
      <c r="P39" s="1" t="s">
        <v>4</v>
      </c>
      <c r="Q39" s="1" t="s">
        <v>260</v>
      </c>
      <c r="R39" s="1" t="s">
        <v>4</v>
      </c>
      <c r="S39" s="1"/>
    </row>
    <row r="40" spans="1:19" x14ac:dyDescent="0.25">
      <c r="A40" s="6">
        <v>39</v>
      </c>
      <c r="B40" s="1" t="s">
        <v>5</v>
      </c>
      <c r="C40" s="1" t="s">
        <v>6</v>
      </c>
      <c r="D40" s="1" t="s">
        <v>261</v>
      </c>
      <c r="E40" s="1" t="s">
        <v>255</v>
      </c>
      <c r="F40" s="1">
        <v>8</v>
      </c>
      <c r="G40" s="1">
        <v>2022</v>
      </c>
      <c r="H40" s="1" t="s">
        <v>2</v>
      </c>
      <c r="I40" s="1">
        <v>1</v>
      </c>
      <c r="J40" s="2">
        <v>64133858</v>
      </c>
      <c r="K40" s="2">
        <v>7054724</v>
      </c>
      <c r="L40" s="1">
        <v>0</v>
      </c>
      <c r="M40" s="1" t="s">
        <v>3</v>
      </c>
      <c r="N40" s="1" t="s">
        <v>252</v>
      </c>
      <c r="O40" s="1" t="s">
        <v>3</v>
      </c>
      <c r="P40" s="1" t="s">
        <v>4</v>
      </c>
      <c r="Q40" s="1" t="s">
        <v>262</v>
      </c>
      <c r="R40" s="1" t="s">
        <v>4</v>
      </c>
      <c r="S40" s="1"/>
    </row>
    <row r="41" spans="1:19" x14ac:dyDescent="0.25">
      <c r="A41" s="6">
        <v>40</v>
      </c>
      <c r="B41" s="1" t="s">
        <v>5</v>
      </c>
      <c r="C41" s="1" t="s">
        <v>6</v>
      </c>
      <c r="D41" s="1" t="s">
        <v>263</v>
      </c>
      <c r="E41" s="1" t="s">
        <v>255</v>
      </c>
      <c r="F41" s="1">
        <v>8</v>
      </c>
      <c r="G41" s="1">
        <v>2022</v>
      </c>
      <c r="H41" s="1" t="s">
        <v>2</v>
      </c>
      <c r="I41" s="1">
        <v>1</v>
      </c>
      <c r="J41" s="2">
        <v>13183175</v>
      </c>
      <c r="K41" s="2">
        <v>1450149</v>
      </c>
      <c r="L41" s="1">
        <v>0</v>
      </c>
      <c r="M41" s="1" t="s">
        <v>3</v>
      </c>
      <c r="N41" s="1" t="s">
        <v>252</v>
      </c>
      <c r="O41" s="1" t="s">
        <v>3</v>
      </c>
      <c r="P41" s="1" t="s">
        <v>4</v>
      </c>
      <c r="Q41" s="1" t="s">
        <v>264</v>
      </c>
      <c r="R41" s="1" t="s">
        <v>4</v>
      </c>
      <c r="S41" s="1"/>
    </row>
    <row r="42" spans="1:19" x14ac:dyDescent="0.25">
      <c r="A42" s="6">
        <v>41</v>
      </c>
      <c r="B42" s="1" t="s">
        <v>265</v>
      </c>
      <c r="C42" s="1" t="s">
        <v>266</v>
      </c>
      <c r="D42" s="1" t="s">
        <v>267</v>
      </c>
      <c r="E42" s="1" t="s">
        <v>255</v>
      </c>
      <c r="F42" s="1">
        <v>8</v>
      </c>
      <c r="G42" s="1">
        <v>2022</v>
      </c>
      <c r="H42" s="1" t="s">
        <v>2</v>
      </c>
      <c r="I42" s="1">
        <v>1</v>
      </c>
      <c r="J42" s="2">
        <v>13180909</v>
      </c>
      <c r="K42" s="2">
        <v>1449900</v>
      </c>
      <c r="L42" s="1">
        <v>0</v>
      </c>
      <c r="M42" s="1" t="s">
        <v>3</v>
      </c>
      <c r="N42" s="1" t="s">
        <v>252</v>
      </c>
      <c r="O42" s="1" t="s">
        <v>3</v>
      </c>
      <c r="P42" s="1" t="s">
        <v>4</v>
      </c>
      <c r="Q42" s="1" t="s">
        <v>268</v>
      </c>
      <c r="R42" s="1" t="s">
        <v>4</v>
      </c>
      <c r="S42" s="1"/>
    </row>
    <row r="43" spans="1:19" x14ac:dyDescent="0.25">
      <c r="A43" s="6">
        <v>42</v>
      </c>
      <c r="B43" s="1" t="s">
        <v>265</v>
      </c>
      <c r="C43" s="1" t="s">
        <v>266</v>
      </c>
      <c r="D43" s="1" t="s">
        <v>269</v>
      </c>
      <c r="E43" s="1" t="s">
        <v>255</v>
      </c>
      <c r="F43" s="1">
        <v>8</v>
      </c>
      <c r="G43" s="1">
        <v>2022</v>
      </c>
      <c r="H43" s="1" t="s">
        <v>2</v>
      </c>
      <c r="I43" s="1">
        <v>1</v>
      </c>
      <c r="J43" s="2">
        <v>4169948</v>
      </c>
      <c r="K43" s="2">
        <v>458694</v>
      </c>
      <c r="L43" s="1">
        <v>0</v>
      </c>
      <c r="M43" s="1" t="s">
        <v>3</v>
      </c>
      <c r="N43" s="1" t="s">
        <v>270</v>
      </c>
      <c r="O43" s="1" t="s">
        <v>3</v>
      </c>
      <c r="P43" s="1" t="s">
        <v>4</v>
      </c>
      <c r="Q43" s="1" t="s">
        <v>271</v>
      </c>
      <c r="R43" s="1" t="s">
        <v>4</v>
      </c>
      <c r="S43" s="1"/>
    </row>
    <row r="44" spans="1:19" x14ac:dyDescent="0.25">
      <c r="A44" s="6">
        <v>43</v>
      </c>
      <c r="B44" s="1" t="s">
        <v>0</v>
      </c>
      <c r="C44" s="1" t="s">
        <v>1</v>
      </c>
      <c r="D44" s="1" t="s">
        <v>272</v>
      </c>
      <c r="E44" s="1" t="s">
        <v>273</v>
      </c>
      <c r="F44" s="1">
        <v>8</v>
      </c>
      <c r="G44" s="1">
        <v>2022</v>
      </c>
      <c r="H44" s="1" t="s">
        <v>2</v>
      </c>
      <c r="I44" s="1">
        <v>1</v>
      </c>
      <c r="J44" s="2">
        <v>32177081</v>
      </c>
      <c r="K44" s="2">
        <v>3539478</v>
      </c>
      <c r="L44" s="1">
        <v>0</v>
      </c>
      <c r="M44" s="1" t="s">
        <v>3</v>
      </c>
      <c r="N44" s="1" t="s">
        <v>270</v>
      </c>
      <c r="O44" s="1" t="s">
        <v>3</v>
      </c>
      <c r="P44" s="1" t="s">
        <v>4</v>
      </c>
      <c r="Q44" s="1" t="s">
        <v>274</v>
      </c>
      <c r="R44" s="1" t="s">
        <v>4</v>
      </c>
      <c r="S44" s="1"/>
    </row>
    <row r="45" spans="1:19" x14ac:dyDescent="0.25">
      <c r="A45" s="6">
        <v>44</v>
      </c>
      <c r="B45" s="1" t="s">
        <v>5</v>
      </c>
      <c r="C45" s="1" t="s">
        <v>6</v>
      </c>
      <c r="D45" s="1" t="s">
        <v>275</v>
      </c>
      <c r="E45" s="1" t="s">
        <v>273</v>
      </c>
      <c r="F45" s="1">
        <v>8</v>
      </c>
      <c r="G45" s="1">
        <v>2022</v>
      </c>
      <c r="H45" s="1" t="s">
        <v>2</v>
      </c>
      <c r="I45" s="1">
        <v>1</v>
      </c>
      <c r="J45" s="2">
        <v>19971567</v>
      </c>
      <c r="K45" s="2">
        <v>2196872</v>
      </c>
      <c r="L45" s="1">
        <v>0</v>
      </c>
      <c r="M45" s="1" t="s">
        <v>3</v>
      </c>
      <c r="N45" s="1" t="s">
        <v>270</v>
      </c>
      <c r="O45" s="1" t="s">
        <v>3</v>
      </c>
      <c r="P45" s="1" t="s">
        <v>4</v>
      </c>
      <c r="Q45" s="1" t="s">
        <v>276</v>
      </c>
      <c r="R45" s="1" t="s">
        <v>4</v>
      </c>
      <c r="S45" s="1"/>
    </row>
    <row r="46" spans="1:19" x14ac:dyDescent="0.25">
      <c r="A46" s="6">
        <v>45</v>
      </c>
      <c r="B46" s="1" t="s">
        <v>0</v>
      </c>
      <c r="C46" s="1" t="s">
        <v>1</v>
      </c>
      <c r="D46" s="1" t="s">
        <v>277</v>
      </c>
      <c r="E46" s="1" t="s">
        <v>278</v>
      </c>
      <c r="F46" s="1">
        <v>8</v>
      </c>
      <c r="G46" s="1">
        <v>2022</v>
      </c>
      <c r="H46" s="1" t="s">
        <v>2</v>
      </c>
      <c r="I46" s="1">
        <v>1</v>
      </c>
      <c r="J46" s="2">
        <v>29670032</v>
      </c>
      <c r="K46" s="2">
        <v>3263703</v>
      </c>
      <c r="L46" s="1">
        <v>0</v>
      </c>
      <c r="M46" s="1" t="s">
        <v>3</v>
      </c>
      <c r="N46" s="1" t="s">
        <v>270</v>
      </c>
      <c r="O46" s="1" t="s">
        <v>3</v>
      </c>
      <c r="P46" s="1" t="s">
        <v>4</v>
      </c>
      <c r="Q46" s="1" t="s">
        <v>279</v>
      </c>
      <c r="R46" s="1" t="s">
        <v>4</v>
      </c>
      <c r="S46" s="1"/>
    </row>
    <row r="47" spans="1:19" x14ac:dyDescent="0.25">
      <c r="A47" s="6">
        <v>46</v>
      </c>
      <c r="B47" s="1" t="s">
        <v>5</v>
      </c>
      <c r="C47" s="1" t="s">
        <v>6</v>
      </c>
      <c r="D47" s="1" t="s">
        <v>280</v>
      </c>
      <c r="E47" s="1" t="s">
        <v>278</v>
      </c>
      <c r="F47" s="1">
        <v>8</v>
      </c>
      <c r="G47" s="1">
        <v>2022</v>
      </c>
      <c r="H47" s="1" t="s">
        <v>2</v>
      </c>
      <c r="I47" s="1">
        <v>1</v>
      </c>
      <c r="J47" s="2">
        <v>8835513</v>
      </c>
      <c r="K47" s="2">
        <v>971906</v>
      </c>
      <c r="L47" s="1">
        <v>0</v>
      </c>
      <c r="M47" s="1" t="s">
        <v>3</v>
      </c>
      <c r="N47" s="1" t="s">
        <v>270</v>
      </c>
      <c r="O47" s="1" t="s">
        <v>3</v>
      </c>
      <c r="P47" s="1" t="s">
        <v>4</v>
      </c>
      <c r="Q47" s="1" t="s">
        <v>281</v>
      </c>
      <c r="R47" s="1" t="s">
        <v>4</v>
      </c>
      <c r="S47" s="1"/>
    </row>
    <row r="48" spans="1:19" x14ac:dyDescent="0.25">
      <c r="A48" s="6">
        <v>47</v>
      </c>
      <c r="B48" s="1" t="s">
        <v>0</v>
      </c>
      <c r="C48" s="1" t="s">
        <v>1</v>
      </c>
      <c r="D48" s="1" t="s">
        <v>282</v>
      </c>
      <c r="E48" s="1" t="s">
        <v>283</v>
      </c>
      <c r="F48" s="1">
        <v>8</v>
      </c>
      <c r="G48" s="1">
        <v>2022</v>
      </c>
      <c r="H48" s="1" t="s">
        <v>2</v>
      </c>
      <c r="I48" s="1">
        <v>1</v>
      </c>
      <c r="J48" s="2">
        <v>101365881</v>
      </c>
      <c r="K48" s="2">
        <v>11150246</v>
      </c>
      <c r="L48" s="1">
        <v>0</v>
      </c>
      <c r="M48" s="1" t="s">
        <v>3</v>
      </c>
      <c r="N48" s="1" t="s">
        <v>270</v>
      </c>
      <c r="O48" s="1" t="s">
        <v>3</v>
      </c>
      <c r="P48" s="1" t="s">
        <v>4</v>
      </c>
      <c r="Q48" s="1" t="s">
        <v>284</v>
      </c>
      <c r="R48" s="1" t="s">
        <v>4</v>
      </c>
      <c r="S48" s="1"/>
    </row>
    <row r="49" spans="1:19" x14ac:dyDescent="0.25">
      <c r="A49" s="6">
        <v>48</v>
      </c>
      <c r="B49" s="1" t="s">
        <v>0</v>
      </c>
      <c r="C49" s="1" t="s">
        <v>1</v>
      </c>
      <c r="D49" s="1" t="s">
        <v>285</v>
      </c>
      <c r="E49" s="1" t="s">
        <v>283</v>
      </c>
      <c r="F49" s="1">
        <v>8</v>
      </c>
      <c r="G49" s="1">
        <v>2022</v>
      </c>
      <c r="H49" s="1" t="s">
        <v>2</v>
      </c>
      <c r="I49" s="1">
        <v>1</v>
      </c>
      <c r="J49" s="2">
        <v>3364864</v>
      </c>
      <c r="K49" s="2">
        <v>370135</v>
      </c>
      <c r="L49" s="1">
        <v>0</v>
      </c>
      <c r="M49" s="1" t="s">
        <v>3</v>
      </c>
      <c r="N49" s="1" t="s">
        <v>270</v>
      </c>
      <c r="O49" s="1" t="s">
        <v>3</v>
      </c>
      <c r="P49" s="1" t="s">
        <v>4</v>
      </c>
      <c r="Q49" s="1" t="s">
        <v>286</v>
      </c>
      <c r="R49" s="1" t="s">
        <v>4</v>
      </c>
      <c r="S49" s="1"/>
    </row>
    <row r="50" spans="1:19" x14ac:dyDescent="0.25">
      <c r="A50" s="6">
        <v>49</v>
      </c>
      <c r="B50" s="1" t="s">
        <v>5</v>
      </c>
      <c r="C50" s="1" t="s">
        <v>6</v>
      </c>
      <c r="D50" s="1" t="s">
        <v>287</v>
      </c>
      <c r="E50" s="1" t="s">
        <v>283</v>
      </c>
      <c r="F50" s="1">
        <v>8</v>
      </c>
      <c r="G50" s="1">
        <v>2022</v>
      </c>
      <c r="H50" s="1" t="s">
        <v>2</v>
      </c>
      <c r="I50" s="1">
        <v>1</v>
      </c>
      <c r="J50" s="2">
        <v>3378918</v>
      </c>
      <c r="K50" s="2">
        <v>371681</v>
      </c>
      <c r="L50" s="1">
        <v>0</v>
      </c>
      <c r="M50" s="1" t="s">
        <v>3</v>
      </c>
      <c r="N50" s="1" t="s">
        <v>270</v>
      </c>
      <c r="O50" s="1" t="s">
        <v>3</v>
      </c>
      <c r="P50" s="1" t="s">
        <v>4</v>
      </c>
      <c r="Q50" s="1" t="s">
        <v>288</v>
      </c>
      <c r="R50" s="1" t="s">
        <v>4</v>
      </c>
      <c r="S50" s="1"/>
    </row>
    <row r="51" spans="1:19" x14ac:dyDescent="0.25">
      <c r="A51" s="6">
        <v>50</v>
      </c>
      <c r="B51" s="1" t="s">
        <v>9</v>
      </c>
      <c r="C51" s="1" t="s">
        <v>10</v>
      </c>
      <c r="D51" s="1" t="s">
        <v>289</v>
      </c>
      <c r="E51" s="1" t="s">
        <v>283</v>
      </c>
      <c r="F51" s="1">
        <v>8</v>
      </c>
      <c r="G51" s="1">
        <v>2022</v>
      </c>
      <c r="H51" s="1" t="s">
        <v>2</v>
      </c>
      <c r="I51" s="1">
        <v>1</v>
      </c>
      <c r="J51" s="2">
        <v>12341441</v>
      </c>
      <c r="K51" s="2">
        <v>1357558</v>
      </c>
      <c r="L51" s="1">
        <v>0</v>
      </c>
      <c r="M51" s="1" t="s">
        <v>3</v>
      </c>
      <c r="N51" s="1" t="s">
        <v>270</v>
      </c>
      <c r="O51" s="1" t="s">
        <v>3</v>
      </c>
      <c r="P51" s="1" t="s">
        <v>4</v>
      </c>
      <c r="Q51" s="1" t="s">
        <v>290</v>
      </c>
      <c r="R51" s="1" t="s">
        <v>4</v>
      </c>
      <c r="S51" s="1"/>
    </row>
    <row r="52" spans="1:19" x14ac:dyDescent="0.25">
      <c r="A52" s="6">
        <v>51</v>
      </c>
      <c r="B52" s="1" t="s">
        <v>0</v>
      </c>
      <c r="C52" s="1" t="s">
        <v>1</v>
      </c>
      <c r="D52" s="1" t="s">
        <v>291</v>
      </c>
      <c r="E52" s="1" t="s">
        <v>292</v>
      </c>
      <c r="F52" s="1">
        <v>8</v>
      </c>
      <c r="G52" s="1">
        <v>2022</v>
      </c>
      <c r="H52" s="1" t="s">
        <v>2</v>
      </c>
      <c r="I52" s="1">
        <v>1</v>
      </c>
      <c r="J52" s="2">
        <v>40354599</v>
      </c>
      <c r="K52" s="2">
        <v>4439005</v>
      </c>
      <c r="L52" s="1">
        <v>0</v>
      </c>
      <c r="M52" s="1" t="s">
        <v>3</v>
      </c>
      <c r="N52" s="1" t="s">
        <v>293</v>
      </c>
      <c r="O52" s="1" t="s">
        <v>3</v>
      </c>
      <c r="P52" s="1" t="s">
        <v>4</v>
      </c>
      <c r="Q52" s="1" t="s">
        <v>294</v>
      </c>
      <c r="R52" s="1" t="s">
        <v>4</v>
      </c>
      <c r="S52" s="1"/>
    </row>
    <row r="53" spans="1:19" x14ac:dyDescent="0.25">
      <c r="A53" s="6">
        <v>52</v>
      </c>
      <c r="B53" s="1" t="s">
        <v>5</v>
      </c>
      <c r="C53" s="1" t="s">
        <v>6</v>
      </c>
      <c r="D53" s="1" t="s">
        <v>295</v>
      </c>
      <c r="E53" s="1" t="s">
        <v>292</v>
      </c>
      <c r="F53" s="1">
        <v>8</v>
      </c>
      <c r="G53" s="1">
        <v>2022</v>
      </c>
      <c r="H53" s="1" t="s">
        <v>2</v>
      </c>
      <c r="I53" s="1">
        <v>1</v>
      </c>
      <c r="J53" s="2">
        <v>11808243</v>
      </c>
      <c r="K53" s="2">
        <v>1298906</v>
      </c>
      <c r="L53" s="1">
        <v>0</v>
      </c>
      <c r="M53" s="1" t="s">
        <v>3</v>
      </c>
      <c r="N53" s="1" t="s">
        <v>270</v>
      </c>
      <c r="O53" s="1" t="s">
        <v>3</v>
      </c>
      <c r="P53" s="1" t="s">
        <v>4</v>
      </c>
      <c r="Q53" s="1" t="s">
        <v>296</v>
      </c>
      <c r="R53" s="1" t="s">
        <v>4</v>
      </c>
      <c r="S53" s="1"/>
    </row>
    <row r="54" spans="1:19" x14ac:dyDescent="0.25">
      <c r="A54" s="6">
        <v>53</v>
      </c>
      <c r="B54" s="1" t="s">
        <v>5</v>
      </c>
      <c r="C54" s="1" t="s">
        <v>6</v>
      </c>
      <c r="D54" s="1" t="s">
        <v>297</v>
      </c>
      <c r="E54" s="1" t="s">
        <v>292</v>
      </c>
      <c r="F54" s="1">
        <v>8</v>
      </c>
      <c r="G54" s="1">
        <v>2022</v>
      </c>
      <c r="H54" s="1" t="s">
        <v>2</v>
      </c>
      <c r="I54" s="1">
        <v>1</v>
      </c>
      <c r="J54" s="2">
        <v>5963432</v>
      </c>
      <c r="K54" s="2">
        <v>655977</v>
      </c>
      <c r="L54" s="1">
        <v>0</v>
      </c>
      <c r="M54" s="1" t="s">
        <v>3</v>
      </c>
      <c r="N54" s="1" t="s">
        <v>298</v>
      </c>
      <c r="O54" s="1" t="s">
        <v>3</v>
      </c>
      <c r="P54" s="1" t="s">
        <v>4</v>
      </c>
      <c r="Q54" s="1" t="s">
        <v>299</v>
      </c>
      <c r="R54" s="1" t="s">
        <v>4</v>
      </c>
      <c r="S54" s="1"/>
    </row>
    <row r="55" spans="1:19" x14ac:dyDescent="0.25">
      <c r="A55" s="6">
        <v>54</v>
      </c>
      <c r="B55" s="1" t="s">
        <v>0</v>
      </c>
      <c r="C55" s="1" t="s">
        <v>1</v>
      </c>
      <c r="D55" s="1" t="s">
        <v>300</v>
      </c>
      <c r="E55" s="1" t="s">
        <v>301</v>
      </c>
      <c r="F55" s="1">
        <v>8</v>
      </c>
      <c r="G55" s="1">
        <v>2022</v>
      </c>
      <c r="H55" s="1" t="s">
        <v>2</v>
      </c>
      <c r="I55" s="1">
        <v>1</v>
      </c>
      <c r="J55" s="2">
        <v>39363535</v>
      </c>
      <c r="K55" s="2">
        <v>4329988</v>
      </c>
      <c r="L55" s="1">
        <v>0</v>
      </c>
      <c r="M55" s="1" t="s">
        <v>3</v>
      </c>
      <c r="N55" s="1" t="s">
        <v>298</v>
      </c>
      <c r="O55" s="1" t="s">
        <v>3</v>
      </c>
      <c r="P55" s="1" t="s">
        <v>4</v>
      </c>
      <c r="Q55" s="1" t="s">
        <v>302</v>
      </c>
      <c r="R55" s="1" t="s">
        <v>4</v>
      </c>
      <c r="S55" s="1"/>
    </row>
    <row r="56" spans="1:19" x14ac:dyDescent="0.25">
      <c r="A56" s="6">
        <v>55</v>
      </c>
      <c r="B56" s="1" t="s">
        <v>5</v>
      </c>
      <c r="C56" s="1" t="s">
        <v>6</v>
      </c>
      <c r="D56" s="1" t="s">
        <v>303</v>
      </c>
      <c r="E56" s="1" t="s">
        <v>301</v>
      </c>
      <c r="F56" s="1">
        <v>8</v>
      </c>
      <c r="G56" s="1">
        <v>2022</v>
      </c>
      <c r="H56" s="1" t="s">
        <v>2</v>
      </c>
      <c r="I56" s="1">
        <v>1</v>
      </c>
      <c r="J56" s="2">
        <v>3918108</v>
      </c>
      <c r="K56" s="2">
        <v>430991</v>
      </c>
      <c r="L56" s="1">
        <v>0</v>
      </c>
      <c r="M56" s="1" t="s">
        <v>3</v>
      </c>
      <c r="N56" s="1" t="s">
        <v>293</v>
      </c>
      <c r="O56" s="1" t="s">
        <v>3</v>
      </c>
      <c r="P56" s="1" t="s">
        <v>4</v>
      </c>
      <c r="Q56" s="1" t="s">
        <v>304</v>
      </c>
      <c r="R56" s="1" t="s">
        <v>4</v>
      </c>
      <c r="S56" s="1"/>
    </row>
    <row r="57" spans="1:19" x14ac:dyDescent="0.25">
      <c r="A57" s="6">
        <v>56</v>
      </c>
      <c r="B57" s="1" t="s">
        <v>5</v>
      </c>
      <c r="C57" s="1" t="s">
        <v>6</v>
      </c>
      <c r="D57" s="1" t="s">
        <v>305</v>
      </c>
      <c r="E57" s="1" t="s">
        <v>301</v>
      </c>
      <c r="F57" s="1">
        <v>8</v>
      </c>
      <c r="G57" s="1">
        <v>2022</v>
      </c>
      <c r="H57" s="1" t="s">
        <v>2</v>
      </c>
      <c r="I57" s="1">
        <v>1</v>
      </c>
      <c r="J57" s="2">
        <v>18692490</v>
      </c>
      <c r="K57" s="2">
        <v>2056174</v>
      </c>
      <c r="L57" s="1">
        <v>0</v>
      </c>
      <c r="M57" s="1" t="s">
        <v>3</v>
      </c>
      <c r="N57" s="1" t="s">
        <v>298</v>
      </c>
      <c r="O57" s="1" t="s">
        <v>3</v>
      </c>
      <c r="P57" s="1" t="s">
        <v>4</v>
      </c>
      <c r="Q57" s="1" t="s">
        <v>306</v>
      </c>
      <c r="R57" s="1" t="s">
        <v>4</v>
      </c>
      <c r="S57" s="1"/>
    </row>
    <row r="58" spans="1:19" x14ac:dyDescent="0.25">
      <c r="A58" s="6">
        <v>57</v>
      </c>
      <c r="B58" s="1" t="s">
        <v>5</v>
      </c>
      <c r="C58" s="1" t="s">
        <v>6</v>
      </c>
      <c r="D58" s="1" t="s">
        <v>307</v>
      </c>
      <c r="E58" s="1" t="s">
        <v>301</v>
      </c>
      <c r="F58" s="1">
        <v>8</v>
      </c>
      <c r="G58" s="1">
        <v>2022</v>
      </c>
      <c r="H58" s="1" t="s">
        <v>2</v>
      </c>
      <c r="I58" s="1">
        <v>1</v>
      </c>
      <c r="J58" s="2">
        <v>30905425</v>
      </c>
      <c r="K58" s="2">
        <v>3399596</v>
      </c>
      <c r="L58" s="1">
        <v>0</v>
      </c>
      <c r="M58" s="1" t="s">
        <v>3</v>
      </c>
      <c r="N58" s="1" t="s">
        <v>298</v>
      </c>
      <c r="O58" s="1" t="s">
        <v>3</v>
      </c>
      <c r="P58" s="1" t="s">
        <v>4</v>
      </c>
      <c r="Q58" s="1" t="s">
        <v>308</v>
      </c>
      <c r="R58" s="1" t="s">
        <v>4</v>
      </c>
      <c r="S58" s="1"/>
    </row>
    <row r="59" spans="1:19" x14ac:dyDescent="0.25">
      <c r="A59" s="6">
        <v>58</v>
      </c>
      <c r="B59" s="1" t="s">
        <v>5</v>
      </c>
      <c r="C59" s="1" t="s">
        <v>6</v>
      </c>
      <c r="D59" s="1" t="s">
        <v>309</v>
      </c>
      <c r="E59" s="1" t="s">
        <v>301</v>
      </c>
      <c r="F59" s="1">
        <v>8</v>
      </c>
      <c r="G59" s="1">
        <v>2022</v>
      </c>
      <c r="H59" s="1" t="s">
        <v>2</v>
      </c>
      <c r="I59" s="1">
        <v>1</v>
      </c>
      <c r="J59" s="2">
        <v>20670527</v>
      </c>
      <c r="K59" s="2">
        <v>2273757</v>
      </c>
      <c r="L59" s="1">
        <v>0</v>
      </c>
      <c r="M59" s="1" t="s">
        <v>3</v>
      </c>
      <c r="N59" s="1" t="s">
        <v>293</v>
      </c>
      <c r="O59" s="1" t="s">
        <v>3</v>
      </c>
      <c r="P59" s="1" t="s">
        <v>4</v>
      </c>
      <c r="Q59" s="1" t="s">
        <v>310</v>
      </c>
      <c r="R59" s="1" t="s">
        <v>4</v>
      </c>
      <c r="S59" s="1"/>
    </row>
    <row r="60" spans="1:19" x14ac:dyDescent="0.25">
      <c r="A60" s="6">
        <v>59</v>
      </c>
      <c r="B60" s="1" t="s">
        <v>5</v>
      </c>
      <c r="C60" s="1" t="s">
        <v>6</v>
      </c>
      <c r="D60" s="1" t="s">
        <v>311</v>
      </c>
      <c r="E60" s="1" t="s">
        <v>301</v>
      </c>
      <c r="F60" s="1">
        <v>8</v>
      </c>
      <c r="G60" s="1">
        <v>2022</v>
      </c>
      <c r="H60" s="1" t="s">
        <v>2</v>
      </c>
      <c r="I60" s="1">
        <v>1</v>
      </c>
      <c r="J60" s="2">
        <v>4529189</v>
      </c>
      <c r="K60" s="2">
        <v>498210</v>
      </c>
      <c r="L60" s="1">
        <v>0</v>
      </c>
      <c r="M60" s="1" t="s">
        <v>3</v>
      </c>
      <c r="N60" s="1" t="s">
        <v>298</v>
      </c>
      <c r="O60" s="1" t="s">
        <v>3</v>
      </c>
      <c r="P60" s="1" t="s">
        <v>4</v>
      </c>
      <c r="Q60" s="1" t="s">
        <v>312</v>
      </c>
      <c r="R60" s="1" t="s">
        <v>4</v>
      </c>
      <c r="S60" s="1"/>
    </row>
    <row r="61" spans="1:19" x14ac:dyDescent="0.25">
      <c r="A61" s="6">
        <v>60</v>
      </c>
      <c r="B61" s="1" t="s">
        <v>5</v>
      </c>
      <c r="C61" s="1" t="s">
        <v>6</v>
      </c>
      <c r="D61" s="1" t="s">
        <v>313</v>
      </c>
      <c r="E61" s="1" t="s">
        <v>301</v>
      </c>
      <c r="F61" s="1">
        <v>8</v>
      </c>
      <c r="G61" s="1">
        <v>2022</v>
      </c>
      <c r="H61" s="1" t="s">
        <v>2</v>
      </c>
      <c r="I61" s="1">
        <v>1</v>
      </c>
      <c r="J61" s="2">
        <v>22191978</v>
      </c>
      <c r="K61" s="2">
        <v>2441117</v>
      </c>
      <c r="L61" s="1">
        <v>0</v>
      </c>
      <c r="M61" s="1" t="s">
        <v>3</v>
      </c>
      <c r="N61" s="1" t="s">
        <v>293</v>
      </c>
      <c r="O61" s="1" t="s">
        <v>3</v>
      </c>
      <c r="P61" s="1" t="s">
        <v>4</v>
      </c>
      <c r="Q61" s="1" t="s">
        <v>314</v>
      </c>
      <c r="R61" s="1" t="s">
        <v>4</v>
      </c>
      <c r="S61" s="1"/>
    </row>
    <row r="62" spans="1:19" x14ac:dyDescent="0.25">
      <c r="A62" s="6">
        <v>61</v>
      </c>
      <c r="B62" s="1" t="s">
        <v>5</v>
      </c>
      <c r="C62" s="1" t="s">
        <v>6</v>
      </c>
      <c r="D62" s="1" t="s">
        <v>315</v>
      </c>
      <c r="E62" s="1" t="s">
        <v>301</v>
      </c>
      <c r="F62" s="1">
        <v>8</v>
      </c>
      <c r="G62" s="1">
        <v>2022</v>
      </c>
      <c r="H62" s="1" t="s">
        <v>2</v>
      </c>
      <c r="I62" s="1">
        <v>1</v>
      </c>
      <c r="J62" s="2">
        <v>53548722</v>
      </c>
      <c r="K62" s="2">
        <v>5890359</v>
      </c>
      <c r="L62" s="1">
        <v>0</v>
      </c>
      <c r="M62" s="1" t="s">
        <v>3</v>
      </c>
      <c r="N62" s="1" t="s">
        <v>293</v>
      </c>
      <c r="O62" s="1" t="s">
        <v>3</v>
      </c>
      <c r="P62" s="1" t="s">
        <v>4</v>
      </c>
      <c r="Q62" s="1" t="s">
        <v>316</v>
      </c>
      <c r="R62" s="1" t="s">
        <v>4</v>
      </c>
      <c r="S62" s="1"/>
    </row>
    <row r="63" spans="1:19" x14ac:dyDescent="0.25">
      <c r="A63" s="6">
        <v>62</v>
      </c>
      <c r="B63" s="1" t="s">
        <v>0</v>
      </c>
      <c r="C63" s="1" t="s">
        <v>1</v>
      </c>
      <c r="D63" s="1" t="s">
        <v>317</v>
      </c>
      <c r="E63" s="1" t="s">
        <v>318</v>
      </c>
      <c r="F63" s="1">
        <v>8</v>
      </c>
      <c r="G63" s="1">
        <v>2022</v>
      </c>
      <c r="H63" s="1" t="s">
        <v>2</v>
      </c>
      <c r="I63" s="1">
        <v>1</v>
      </c>
      <c r="J63" s="2">
        <v>66212464</v>
      </c>
      <c r="K63" s="2">
        <v>7283371</v>
      </c>
      <c r="L63" s="1">
        <v>0</v>
      </c>
      <c r="M63" s="1" t="s">
        <v>3</v>
      </c>
      <c r="N63" s="1" t="s">
        <v>293</v>
      </c>
      <c r="O63" s="1" t="s">
        <v>3</v>
      </c>
      <c r="P63" s="1" t="s">
        <v>4</v>
      </c>
      <c r="Q63" s="1" t="s">
        <v>319</v>
      </c>
      <c r="R63" s="1" t="s">
        <v>4</v>
      </c>
      <c r="S63" s="1"/>
    </row>
    <row r="64" spans="1:19" x14ac:dyDescent="0.25">
      <c r="A64" s="6">
        <v>63</v>
      </c>
      <c r="B64" s="1" t="s">
        <v>0</v>
      </c>
      <c r="C64" s="1" t="s">
        <v>1</v>
      </c>
      <c r="D64" s="1" t="s">
        <v>320</v>
      </c>
      <c r="E64" s="1" t="s">
        <v>318</v>
      </c>
      <c r="F64" s="1">
        <v>8</v>
      </c>
      <c r="G64" s="1">
        <v>2022</v>
      </c>
      <c r="H64" s="1" t="s">
        <v>2</v>
      </c>
      <c r="I64" s="1">
        <v>1</v>
      </c>
      <c r="J64" s="2">
        <v>12598054</v>
      </c>
      <c r="K64" s="2">
        <v>1385785</v>
      </c>
      <c r="L64" s="1">
        <v>0</v>
      </c>
      <c r="M64" s="1" t="s">
        <v>3</v>
      </c>
      <c r="N64" s="1" t="s">
        <v>293</v>
      </c>
      <c r="O64" s="1" t="s">
        <v>3</v>
      </c>
      <c r="P64" s="1" t="s">
        <v>4</v>
      </c>
      <c r="Q64" s="1" t="s">
        <v>321</v>
      </c>
      <c r="R64" s="1" t="s">
        <v>4</v>
      </c>
      <c r="S64" s="1"/>
    </row>
    <row r="65" spans="1:19" x14ac:dyDescent="0.25">
      <c r="A65" s="6">
        <v>64</v>
      </c>
      <c r="B65" s="1" t="s">
        <v>5</v>
      </c>
      <c r="C65" s="1" t="s">
        <v>6</v>
      </c>
      <c r="D65" s="1" t="s">
        <v>322</v>
      </c>
      <c r="E65" s="1" t="s">
        <v>318</v>
      </c>
      <c r="F65" s="1">
        <v>8</v>
      </c>
      <c r="G65" s="1">
        <v>2022</v>
      </c>
      <c r="H65" s="1" t="s">
        <v>2</v>
      </c>
      <c r="I65" s="1">
        <v>1</v>
      </c>
      <c r="J65" s="2">
        <v>8583891</v>
      </c>
      <c r="K65" s="2">
        <v>944228</v>
      </c>
      <c r="L65" s="1">
        <v>0</v>
      </c>
      <c r="M65" s="1" t="s">
        <v>3</v>
      </c>
      <c r="N65" s="1" t="s">
        <v>293</v>
      </c>
      <c r="O65" s="1" t="s">
        <v>3</v>
      </c>
      <c r="P65" s="1" t="s">
        <v>4</v>
      </c>
      <c r="Q65" s="1" t="s">
        <v>323</v>
      </c>
      <c r="R65" s="1" t="s">
        <v>4</v>
      </c>
      <c r="S65" s="1"/>
    </row>
    <row r="66" spans="1:19" x14ac:dyDescent="0.25">
      <c r="A66" s="6">
        <v>65</v>
      </c>
      <c r="B66" s="1" t="s">
        <v>5</v>
      </c>
      <c r="C66" s="1" t="s">
        <v>6</v>
      </c>
      <c r="D66" s="1" t="s">
        <v>324</v>
      </c>
      <c r="E66" s="1" t="s">
        <v>318</v>
      </c>
      <c r="F66" s="1">
        <v>8</v>
      </c>
      <c r="G66" s="1">
        <v>2022</v>
      </c>
      <c r="H66" s="1" t="s">
        <v>2</v>
      </c>
      <c r="I66" s="1">
        <v>1</v>
      </c>
      <c r="J66" s="2">
        <v>41778175</v>
      </c>
      <c r="K66" s="2">
        <v>4595599</v>
      </c>
      <c r="L66" s="1">
        <v>0</v>
      </c>
      <c r="M66" s="1" t="s">
        <v>3</v>
      </c>
      <c r="N66" s="1" t="s">
        <v>293</v>
      </c>
      <c r="O66" s="1" t="s">
        <v>3</v>
      </c>
      <c r="P66" s="1" t="s">
        <v>4</v>
      </c>
      <c r="Q66" s="1" t="s">
        <v>325</v>
      </c>
      <c r="R66" s="1" t="s">
        <v>4</v>
      </c>
      <c r="S66" s="1"/>
    </row>
    <row r="67" spans="1:19" x14ac:dyDescent="0.25">
      <c r="A67" s="6">
        <v>66</v>
      </c>
      <c r="B67" s="1" t="s">
        <v>0</v>
      </c>
      <c r="C67" s="1" t="s">
        <v>1</v>
      </c>
      <c r="D67" s="1" t="s">
        <v>326</v>
      </c>
      <c r="E67" s="1" t="s">
        <v>327</v>
      </c>
      <c r="F67" s="1">
        <v>8</v>
      </c>
      <c r="G67" s="1">
        <v>2022</v>
      </c>
      <c r="H67" s="1" t="s">
        <v>2</v>
      </c>
      <c r="I67" s="1">
        <v>1</v>
      </c>
      <c r="J67" s="2">
        <v>24165113</v>
      </c>
      <c r="K67" s="2">
        <v>2658162</v>
      </c>
      <c r="L67" s="1">
        <v>0</v>
      </c>
      <c r="M67" s="1" t="s">
        <v>3</v>
      </c>
      <c r="N67" s="1" t="s">
        <v>293</v>
      </c>
      <c r="O67" s="1" t="s">
        <v>3</v>
      </c>
      <c r="P67" s="1" t="s">
        <v>4</v>
      </c>
      <c r="Q67" s="1" t="s">
        <v>328</v>
      </c>
      <c r="R67" s="1" t="s">
        <v>4</v>
      </c>
      <c r="S67" s="1"/>
    </row>
    <row r="68" spans="1:19" x14ac:dyDescent="0.25">
      <c r="A68" s="6">
        <v>67</v>
      </c>
      <c r="B68" s="1" t="s">
        <v>0</v>
      </c>
      <c r="C68" s="1" t="s">
        <v>1</v>
      </c>
      <c r="D68" s="1" t="s">
        <v>329</v>
      </c>
      <c r="E68" s="1" t="s">
        <v>327</v>
      </c>
      <c r="F68" s="1">
        <v>8</v>
      </c>
      <c r="G68" s="1">
        <v>2022</v>
      </c>
      <c r="H68" s="1" t="s">
        <v>2</v>
      </c>
      <c r="I68" s="1">
        <v>1</v>
      </c>
      <c r="J68" s="2">
        <v>5182789</v>
      </c>
      <c r="K68" s="2">
        <v>570106</v>
      </c>
      <c r="L68" s="1">
        <v>0</v>
      </c>
      <c r="M68" s="1" t="s">
        <v>3</v>
      </c>
      <c r="N68" s="1" t="s">
        <v>293</v>
      </c>
      <c r="O68" s="1" t="s">
        <v>3</v>
      </c>
      <c r="P68" s="1" t="s">
        <v>4</v>
      </c>
      <c r="Q68" s="1" t="s">
        <v>330</v>
      </c>
      <c r="R68" s="1" t="s">
        <v>4</v>
      </c>
      <c r="S68" s="1"/>
    </row>
    <row r="69" spans="1:19" x14ac:dyDescent="0.25">
      <c r="A69" s="6">
        <v>68</v>
      </c>
      <c r="B69" s="1" t="s">
        <v>0</v>
      </c>
      <c r="C69" s="1" t="s">
        <v>1</v>
      </c>
      <c r="D69" s="1" t="s">
        <v>331</v>
      </c>
      <c r="E69" s="1" t="s">
        <v>327</v>
      </c>
      <c r="F69" s="1">
        <v>8</v>
      </c>
      <c r="G69" s="1">
        <v>2022</v>
      </c>
      <c r="H69" s="1" t="s">
        <v>2</v>
      </c>
      <c r="I69" s="1">
        <v>1</v>
      </c>
      <c r="J69" s="2">
        <v>5283286</v>
      </c>
      <c r="K69" s="2">
        <v>581161</v>
      </c>
      <c r="L69" s="1">
        <v>0</v>
      </c>
      <c r="M69" s="1" t="s">
        <v>3</v>
      </c>
      <c r="N69" s="1" t="s">
        <v>293</v>
      </c>
      <c r="O69" s="1" t="s">
        <v>3</v>
      </c>
      <c r="P69" s="1" t="s">
        <v>4</v>
      </c>
      <c r="Q69" s="1" t="s">
        <v>332</v>
      </c>
      <c r="R69" s="1" t="s">
        <v>4</v>
      </c>
      <c r="S69" s="1"/>
    </row>
    <row r="70" spans="1:19" x14ac:dyDescent="0.25">
      <c r="A70" s="6">
        <v>69</v>
      </c>
      <c r="B70" s="1" t="s">
        <v>5</v>
      </c>
      <c r="C70" s="1" t="s">
        <v>6</v>
      </c>
      <c r="D70" s="1" t="s">
        <v>333</v>
      </c>
      <c r="E70" s="1" t="s">
        <v>327</v>
      </c>
      <c r="F70" s="1">
        <v>8</v>
      </c>
      <c r="G70" s="1">
        <v>2022</v>
      </c>
      <c r="H70" s="1" t="s">
        <v>2</v>
      </c>
      <c r="I70" s="1">
        <v>1</v>
      </c>
      <c r="J70" s="2">
        <v>12304297</v>
      </c>
      <c r="K70" s="2">
        <v>1353472</v>
      </c>
      <c r="L70" s="1">
        <v>0</v>
      </c>
      <c r="M70" s="1" t="s">
        <v>3</v>
      </c>
      <c r="N70" s="1" t="s">
        <v>334</v>
      </c>
      <c r="O70" s="1" t="s">
        <v>3</v>
      </c>
      <c r="P70" s="1" t="s">
        <v>4</v>
      </c>
      <c r="Q70" s="1" t="s">
        <v>335</v>
      </c>
      <c r="R70" s="1" t="s">
        <v>4</v>
      </c>
      <c r="S70" s="1"/>
    </row>
    <row r="71" spans="1:19" x14ac:dyDescent="0.25">
      <c r="A71" s="6">
        <v>70</v>
      </c>
      <c r="B71" s="1" t="s">
        <v>0</v>
      </c>
      <c r="C71" s="1" t="s">
        <v>1</v>
      </c>
      <c r="D71" s="1" t="s">
        <v>336</v>
      </c>
      <c r="E71" s="1" t="s">
        <v>337</v>
      </c>
      <c r="F71" s="1">
        <v>8</v>
      </c>
      <c r="G71" s="1">
        <v>2022</v>
      </c>
      <c r="H71" s="1" t="s">
        <v>2</v>
      </c>
      <c r="I71" s="1">
        <v>1</v>
      </c>
      <c r="J71" s="2">
        <v>14002324</v>
      </c>
      <c r="K71" s="2">
        <v>1540255</v>
      </c>
      <c r="L71" s="1">
        <v>0</v>
      </c>
      <c r="M71" s="1" t="s">
        <v>3</v>
      </c>
      <c r="N71" s="1" t="s">
        <v>338</v>
      </c>
      <c r="O71" s="1" t="s">
        <v>3</v>
      </c>
      <c r="P71" s="1" t="s">
        <v>4</v>
      </c>
      <c r="Q71" s="1" t="s">
        <v>339</v>
      </c>
      <c r="R71" s="1" t="s">
        <v>4</v>
      </c>
      <c r="S71" s="1"/>
    </row>
    <row r="72" spans="1:19" x14ac:dyDescent="0.25">
      <c r="A72" s="6">
        <v>71</v>
      </c>
      <c r="B72" s="1" t="s">
        <v>7</v>
      </c>
      <c r="C72" s="1" t="s">
        <v>8</v>
      </c>
      <c r="D72" s="1" t="s">
        <v>340</v>
      </c>
      <c r="E72" s="1" t="s">
        <v>337</v>
      </c>
      <c r="F72" s="1">
        <v>8</v>
      </c>
      <c r="G72" s="1">
        <v>2022</v>
      </c>
      <c r="H72" s="1" t="s">
        <v>2</v>
      </c>
      <c r="I72" s="1">
        <v>1</v>
      </c>
      <c r="J72" s="2">
        <v>4810800</v>
      </c>
      <c r="K72" s="2">
        <v>529188</v>
      </c>
      <c r="L72" s="1">
        <v>0</v>
      </c>
      <c r="M72" s="1" t="s">
        <v>3</v>
      </c>
      <c r="N72" s="1" t="s">
        <v>334</v>
      </c>
      <c r="O72" s="1" t="s">
        <v>3</v>
      </c>
      <c r="P72" s="1" t="s">
        <v>4</v>
      </c>
      <c r="Q72" s="1" t="s">
        <v>341</v>
      </c>
      <c r="R72" s="1" t="s">
        <v>4</v>
      </c>
      <c r="S72" s="1"/>
    </row>
    <row r="73" spans="1:19" x14ac:dyDescent="0.25">
      <c r="A73" s="6">
        <v>72</v>
      </c>
      <c r="B73" s="1" t="s">
        <v>5</v>
      </c>
      <c r="C73" s="1" t="s">
        <v>6</v>
      </c>
      <c r="D73" s="1" t="s">
        <v>342</v>
      </c>
      <c r="E73" s="1" t="s">
        <v>337</v>
      </c>
      <c r="F73" s="1">
        <v>8</v>
      </c>
      <c r="G73" s="1">
        <v>2022</v>
      </c>
      <c r="H73" s="1" t="s">
        <v>2</v>
      </c>
      <c r="I73" s="1">
        <v>1</v>
      </c>
      <c r="J73" s="2">
        <v>18826689</v>
      </c>
      <c r="K73" s="2">
        <v>2070935</v>
      </c>
      <c r="L73" s="1">
        <v>0</v>
      </c>
      <c r="M73" s="1" t="s">
        <v>3</v>
      </c>
      <c r="N73" s="1" t="s">
        <v>334</v>
      </c>
      <c r="O73" s="1" t="s">
        <v>3</v>
      </c>
      <c r="P73" s="1" t="s">
        <v>4</v>
      </c>
      <c r="Q73" s="1" t="s">
        <v>343</v>
      </c>
      <c r="R73" s="1" t="s">
        <v>4</v>
      </c>
      <c r="S73" s="1"/>
    </row>
    <row r="74" spans="1:19" x14ac:dyDescent="0.25">
      <c r="A74" s="6">
        <v>73</v>
      </c>
      <c r="B74" s="1" t="s">
        <v>9</v>
      </c>
      <c r="C74" s="1" t="s">
        <v>10</v>
      </c>
      <c r="D74" s="1" t="s">
        <v>344</v>
      </c>
      <c r="E74" s="1" t="s">
        <v>337</v>
      </c>
      <c r="F74" s="1">
        <v>8</v>
      </c>
      <c r="G74" s="1">
        <v>2022</v>
      </c>
      <c r="H74" s="1" t="s">
        <v>2</v>
      </c>
      <c r="I74" s="1">
        <v>1</v>
      </c>
      <c r="J74" s="2">
        <v>21118243</v>
      </c>
      <c r="K74" s="2">
        <v>2323006</v>
      </c>
      <c r="L74" s="1">
        <v>0</v>
      </c>
      <c r="M74" s="1" t="s">
        <v>3</v>
      </c>
      <c r="N74" s="1" t="s">
        <v>334</v>
      </c>
      <c r="O74" s="1" t="s">
        <v>3</v>
      </c>
      <c r="P74" s="1" t="s">
        <v>4</v>
      </c>
      <c r="Q74" s="1" t="s">
        <v>345</v>
      </c>
      <c r="R74" s="1" t="s">
        <v>4</v>
      </c>
      <c r="S74" s="1"/>
    </row>
    <row r="75" spans="1:19" x14ac:dyDescent="0.25">
      <c r="A75" s="6">
        <v>74</v>
      </c>
      <c r="B75" s="1" t="s">
        <v>5</v>
      </c>
      <c r="C75" s="1" t="s">
        <v>6</v>
      </c>
      <c r="D75" s="1" t="s">
        <v>346</v>
      </c>
      <c r="E75" s="1" t="s">
        <v>347</v>
      </c>
      <c r="F75" s="1">
        <v>8</v>
      </c>
      <c r="G75" s="1">
        <v>2022</v>
      </c>
      <c r="H75" s="1" t="s">
        <v>2</v>
      </c>
      <c r="I75" s="1">
        <v>1</v>
      </c>
      <c r="J75" s="2">
        <v>21173959</v>
      </c>
      <c r="K75" s="2">
        <v>2329135</v>
      </c>
      <c r="L75" s="1">
        <v>0</v>
      </c>
      <c r="M75" s="1" t="s">
        <v>3</v>
      </c>
      <c r="N75" s="1" t="s">
        <v>334</v>
      </c>
      <c r="O75" s="1" t="s">
        <v>3</v>
      </c>
      <c r="P75" s="1" t="s">
        <v>4</v>
      </c>
      <c r="Q75" s="1" t="s">
        <v>348</v>
      </c>
      <c r="R75" s="1" t="s">
        <v>4</v>
      </c>
      <c r="S75" s="1"/>
    </row>
    <row r="76" spans="1:19" x14ac:dyDescent="0.25">
      <c r="A76" s="6">
        <v>75</v>
      </c>
      <c r="B76" s="1" t="s">
        <v>11</v>
      </c>
      <c r="C76" s="1" t="s">
        <v>12</v>
      </c>
      <c r="D76" s="1" t="s">
        <v>349</v>
      </c>
      <c r="E76" s="1" t="s">
        <v>350</v>
      </c>
      <c r="F76" s="1">
        <v>8</v>
      </c>
      <c r="G76" s="1">
        <v>2022</v>
      </c>
      <c r="H76" s="1" t="s">
        <v>2</v>
      </c>
      <c r="I76" s="1">
        <v>1</v>
      </c>
      <c r="J76" s="2">
        <v>22702720</v>
      </c>
      <c r="K76" s="2">
        <v>2497299</v>
      </c>
      <c r="L76" s="1">
        <v>0</v>
      </c>
      <c r="M76" s="1" t="s">
        <v>3</v>
      </c>
      <c r="N76" s="1" t="s">
        <v>334</v>
      </c>
      <c r="O76" s="1" t="s">
        <v>3</v>
      </c>
      <c r="P76" s="1" t="s">
        <v>4</v>
      </c>
      <c r="Q76" s="1" t="s">
        <v>351</v>
      </c>
      <c r="R76" s="1" t="s">
        <v>4</v>
      </c>
      <c r="S76" s="1"/>
    </row>
    <row r="77" spans="1:19" x14ac:dyDescent="0.25">
      <c r="A77" s="6">
        <v>76</v>
      </c>
      <c r="B77" s="1" t="s">
        <v>5</v>
      </c>
      <c r="C77" s="1" t="s">
        <v>6</v>
      </c>
      <c r="D77" s="1" t="s">
        <v>352</v>
      </c>
      <c r="E77" s="1" t="s">
        <v>350</v>
      </c>
      <c r="F77" s="1">
        <v>8</v>
      </c>
      <c r="G77" s="1">
        <v>2022</v>
      </c>
      <c r="H77" s="1" t="s">
        <v>2</v>
      </c>
      <c r="I77" s="1">
        <v>1</v>
      </c>
      <c r="J77" s="2">
        <v>18375567</v>
      </c>
      <c r="K77" s="2">
        <v>2021312</v>
      </c>
      <c r="L77" s="1">
        <v>0</v>
      </c>
      <c r="M77" s="1" t="s">
        <v>3</v>
      </c>
      <c r="N77" s="1" t="s">
        <v>334</v>
      </c>
      <c r="O77" s="1" t="s">
        <v>3</v>
      </c>
      <c r="P77" s="1" t="s">
        <v>4</v>
      </c>
      <c r="Q77" s="1" t="s">
        <v>353</v>
      </c>
      <c r="R77" s="1" t="s">
        <v>4</v>
      </c>
      <c r="S77" s="1"/>
    </row>
    <row r="78" spans="1:19" x14ac:dyDescent="0.25">
      <c r="A78" s="6">
        <v>77</v>
      </c>
      <c r="B78" s="1" t="s">
        <v>9</v>
      </c>
      <c r="C78" s="1" t="s">
        <v>10</v>
      </c>
      <c r="D78" s="1" t="s">
        <v>354</v>
      </c>
      <c r="E78" s="1" t="s">
        <v>350</v>
      </c>
      <c r="F78" s="1">
        <v>8</v>
      </c>
      <c r="G78" s="1">
        <v>2022</v>
      </c>
      <c r="H78" s="1" t="s">
        <v>2</v>
      </c>
      <c r="I78" s="1">
        <v>1</v>
      </c>
      <c r="J78" s="2">
        <v>4223648</v>
      </c>
      <c r="K78" s="2">
        <v>464601</v>
      </c>
      <c r="L78" s="1">
        <v>0</v>
      </c>
      <c r="M78" s="1" t="s">
        <v>3</v>
      </c>
      <c r="N78" s="1" t="s">
        <v>334</v>
      </c>
      <c r="O78" s="1" t="s">
        <v>3</v>
      </c>
      <c r="P78" s="1" t="s">
        <v>4</v>
      </c>
      <c r="Q78" s="1" t="s">
        <v>355</v>
      </c>
      <c r="R78" s="1" t="s">
        <v>4</v>
      </c>
      <c r="S78" s="1"/>
    </row>
    <row r="79" spans="1:19" x14ac:dyDescent="0.25">
      <c r="J79" s="12">
        <f>SUM(J2:J78)</f>
        <v>1917454920</v>
      </c>
      <c r="K79" s="12">
        <f>SUM(K2:K78)</f>
        <v>210920004</v>
      </c>
    </row>
    <row r="81" spans="1:17" x14ac:dyDescent="0.25">
      <c r="I81" s="7"/>
      <c r="J81" s="8" t="s">
        <v>16</v>
      </c>
      <c r="K81" s="8" t="s">
        <v>17</v>
      </c>
    </row>
    <row r="82" spans="1:17" x14ac:dyDescent="0.25">
      <c r="I82" s="9" t="s">
        <v>18</v>
      </c>
      <c r="J82" s="10">
        <f>J322</f>
        <v>2258320715.3153162</v>
      </c>
      <c r="K82" s="10">
        <f>J82*11%</f>
        <v>248415278.68468478</v>
      </c>
    </row>
    <row r="83" spans="1:17" ht="15.75" thickBot="1" x14ac:dyDescent="0.3">
      <c r="I83" s="9" t="s">
        <v>15</v>
      </c>
      <c r="J83" s="10">
        <f>J79</f>
        <v>1917454920</v>
      </c>
      <c r="K83" s="10">
        <f>J83*11%</f>
        <v>210920041.19999999</v>
      </c>
    </row>
    <row r="84" spans="1:17" x14ac:dyDescent="0.25">
      <c r="I84" s="7"/>
      <c r="J84" s="11">
        <f>J82-J83</f>
        <v>340865795.3153162</v>
      </c>
      <c r="K84" s="11">
        <f>K82-K83</f>
        <v>37495237.484684795</v>
      </c>
    </row>
    <row r="86" spans="1:17" s="4" customFormat="1" x14ac:dyDescent="0.25">
      <c r="A86" s="4" t="s">
        <v>18</v>
      </c>
      <c r="J86" s="5" t="s">
        <v>16</v>
      </c>
      <c r="K86" s="5" t="s">
        <v>17</v>
      </c>
      <c r="L86" s="5" t="s">
        <v>161</v>
      </c>
    </row>
    <row r="87" spans="1:17" s="26" customFormat="1" x14ac:dyDescent="0.25">
      <c r="A87" s="13">
        <v>1</v>
      </c>
      <c r="B87" s="20" t="s">
        <v>356</v>
      </c>
      <c r="C87" s="21" t="s">
        <v>357</v>
      </c>
      <c r="D87" s="22" t="s">
        <v>22</v>
      </c>
      <c r="E87" s="23" t="s">
        <v>23</v>
      </c>
      <c r="F87" s="24" t="s">
        <v>24</v>
      </c>
      <c r="G87" s="39" t="s">
        <v>358</v>
      </c>
      <c r="I87" s="25">
        <v>44776</v>
      </c>
      <c r="J87" s="18">
        <f t="shared" ref="J87:J137" si="0">L87/1.11</f>
        <v>2205360.3603603602</v>
      </c>
      <c r="K87" s="18">
        <f t="shared" ref="K87:K137" si="1">J87*11%</f>
        <v>242589.63963963962</v>
      </c>
      <c r="L87" s="14">
        <v>2447950</v>
      </c>
      <c r="N87" s="27" t="s">
        <v>162</v>
      </c>
      <c r="Q87" s="28">
        <f>SUM(L87:L321)</f>
        <v>2506735994</v>
      </c>
    </row>
    <row r="88" spans="1:17" s="26" customFormat="1" x14ac:dyDescent="0.25">
      <c r="A88" s="13">
        <v>2</v>
      </c>
      <c r="B88" s="20" t="s">
        <v>359</v>
      </c>
      <c r="C88" s="15" t="s">
        <v>360</v>
      </c>
      <c r="D88" s="22" t="s">
        <v>31</v>
      </c>
      <c r="E88" s="16" t="s">
        <v>32</v>
      </c>
      <c r="F88" s="16" t="s">
        <v>24</v>
      </c>
      <c r="G88" s="39" t="s">
        <v>361</v>
      </c>
      <c r="I88" s="25">
        <v>44776</v>
      </c>
      <c r="J88" s="18">
        <f t="shared" si="0"/>
        <v>1109054.054054054</v>
      </c>
      <c r="K88" s="18">
        <f t="shared" si="1"/>
        <v>121995.94594594593</v>
      </c>
      <c r="L88" s="14">
        <v>1231050</v>
      </c>
      <c r="N88" s="27" t="s">
        <v>16</v>
      </c>
      <c r="Q88" s="28">
        <f>SUM(J87:J321)</f>
        <v>2258320715.3153162</v>
      </c>
    </row>
    <row r="89" spans="1:17" s="26" customFormat="1" x14ac:dyDescent="0.25">
      <c r="A89" s="13">
        <v>3</v>
      </c>
      <c r="B89" s="20" t="s">
        <v>362</v>
      </c>
      <c r="C89" s="21" t="s">
        <v>363</v>
      </c>
      <c r="D89" s="29" t="s">
        <v>33</v>
      </c>
      <c r="E89" s="23" t="s">
        <v>34</v>
      </c>
      <c r="F89" s="24" t="s">
        <v>35</v>
      </c>
      <c r="G89" s="39" t="s">
        <v>364</v>
      </c>
      <c r="I89" s="25">
        <v>44775</v>
      </c>
      <c r="J89" s="18">
        <f t="shared" si="0"/>
        <v>3416234.2342342339</v>
      </c>
      <c r="K89" s="18">
        <f t="shared" si="1"/>
        <v>375785.76576576574</v>
      </c>
      <c r="L89" s="14">
        <v>3792020</v>
      </c>
      <c r="N89" s="27" t="s">
        <v>17</v>
      </c>
      <c r="Q89" s="28">
        <f>SUM(K87:K321)</f>
        <v>248415278.68468466</v>
      </c>
    </row>
    <row r="90" spans="1:17" s="26" customFormat="1" x14ac:dyDescent="0.25">
      <c r="A90" s="13">
        <v>4</v>
      </c>
      <c r="B90" s="20" t="s">
        <v>365</v>
      </c>
      <c r="C90" s="21" t="s">
        <v>366</v>
      </c>
      <c r="D90" s="29" t="s">
        <v>33</v>
      </c>
      <c r="E90" s="23" t="s">
        <v>34</v>
      </c>
      <c r="F90" s="24" t="s">
        <v>35</v>
      </c>
      <c r="G90" s="39" t="s">
        <v>367</v>
      </c>
      <c r="I90" s="25">
        <v>44775</v>
      </c>
      <c r="J90" s="18">
        <f t="shared" si="0"/>
        <v>45891.891891891886</v>
      </c>
      <c r="K90" s="18">
        <f t="shared" si="1"/>
        <v>5048.1081081081074</v>
      </c>
      <c r="L90" s="14">
        <v>50940</v>
      </c>
      <c r="N90" s="27"/>
      <c r="Q90" s="28"/>
    </row>
    <row r="91" spans="1:17" s="26" customFormat="1" x14ac:dyDescent="0.25">
      <c r="A91" s="13">
        <v>5</v>
      </c>
      <c r="B91" s="20" t="s">
        <v>368</v>
      </c>
      <c r="C91" s="21" t="s">
        <v>369</v>
      </c>
      <c r="D91" s="22" t="s">
        <v>22</v>
      </c>
      <c r="E91" s="23" t="s">
        <v>23</v>
      </c>
      <c r="F91" s="24" t="s">
        <v>24</v>
      </c>
      <c r="G91" s="39" t="s">
        <v>370</v>
      </c>
      <c r="I91" s="25">
        <v>44777</v>
      </c>
      <c r="J91" s="18">
        <f t="shared" si="0"/>
        <v>3559124.3243243238</v>
      </c>
      <c r="K91" s="18">
        <f t="shared" si="1"/>
        <v>391503.67567567562</v>
      </c>
      <c r="L91" s="14">
        <v>3950628</v>
      </c>
      <c r="N91" s="27" t="s">
        <v>163</v>
      </c>
      <c r="Q91" s="28">
        <f>SUM(L87:L138)</f>
        <v>449405031</v>
      </c>
    </row>
    <row r="92" spans="1:17" s="26" customFormat="1" x14ac:dyDescent="0.25">
      <c r="A92" s="13">
        <v>6</v>
      </c>
      <c r="B92" s="20" t="s">
        <v>371</v>
      </c>
      <c r="C92" s="21" t="s">
        <v>372</v>
      </c>
      <c r="D92" s="30" t="s">
        <v>25</v>
      </c>
      <c r="E92" s="31" t="s">
        <v>26</v>
      </c>
      <c r="F92" s="32" t="s">
        <v>27</v>
      </c>
      <c r="G92" s="39" t="s">
        <v>373</v>
      </c>
      <c r="I92" s="33">
        <v>44777</v>
      </c>
      <c r="J92" s="18">
        <f t="shared" si="0"/>
        <v>41369369.369369365</v>
      </c>
      <c r="K92" s="18">
        <f t="shared" si="1"/>
        <v>4550630.6306306301</v>
      </c>
      <c r="L92" s="14">
        <v>45920000</v>
      </c>
      <c r="N92" s="27" t="s">
        <v>16</v>
      </c>
      <c r="Q92" s="28">
        <f>SUM(J87:J138)</f>
        <v>404869397.29729724</v>
      </c>
    </row>
    <row r="93" spans="1:17" s="26" customFormat="1" x14ac:dyDescent="0.25">
      <c r="A93" s="13">
        <v>7</v>
      </c>
      <c r="B93" s="20" t="s">
        <v>374</v>
      </c>
      <c r="C93" s="21" t="s">
        <v>375</v>
      </c>
      <c r="D93" s="22" t="s">
        <v>22</v>
      </c>
      <c r="E93" s="23" t="s">
        <v>23</v>
      </c>
      <c r="F93" s="24" t="s">
        <v>24</v>
      </c>
      <c r="G93" s="39" t="s">
        <v>376</v>
      </c>
      <c r="I93" s="33">
        <v>44777</v>
      </c>
      <c r="J93" s="18">
        <f t="shared" si="0"/>
        <v>5088693.6936936928</v>
      </c>
      <c r="K93" s="18">
        <f t="shared" si="1"/>
        <v>559756.30630630616</v>
      </c>
      <c r="L93" s="14">
        <v>5648450</v>
      </c>
      <c r="N93" s="27" t="s">
        <v>17</v>
      </c>
      <c r="Q93" s="28">
        <f>SUM(K87:K138)</f>
        <v>44535633.702702709</v>
      </c>
    </row>
    <row r="94" spans="1:17" s="26" customFormat="1" x14ac:dyDescent="0.25">
      <c r="A94" s="13">
        <v>8</v>
      </c>
      <c r="B94" s="20" t="s">
        <v>377</v>
      </c>
      <c r="C94" s="21" t="s">
        <v>378</v>
      </c>
      <c r="D94" s="30" t="s">
        <v>41</v>
      </c>
      <c r="E94" s="31" t="s">
        <v>42</v>
      </c>
      <c r="F94" s="32" t="s">
        <v>43</v>
      </c>
      <c r="G94" s="39" t="s">
        <v>379</v>
      </c>
      <c r="I94" s="33">
        <v>44777</v>
      </c>
      <c r="J94" s="18">
        <f t="shared" si="0"/>
        <v>1451805.4054054052</v>
      </c>
      <c r="K94" s="18">
        <f t="shared" si="1"/>
        <v>159698.59459459459</v>
      </c>
      <c r="L94" s="14">
        <v>1611504</v>
      </c>
      <c r="N94" s="27"/>
      <c r="Q94" s="28"/>
    </row>
    <row r="95" spans="1:17" s="26" customFormat="1" x14ac:dyDescent="0.25">
      <c r="A95" s="13">
        <v>9</v>
      </c>
      <c r="B95" s="20" t="s">
        <v>380</v>
      </c>
      <c r="C95" s="21" t="s">
        <v>381</v>
      </c>
      <c r="D95" s="22" t="s">
        <v>31</v>
      </c>
      <c r="E95" s="16" t="s">
        <v>32</v>
      </c>
      <c r="F95" s="16" t="s">
        <v>24</v>
      </c>
      <c r="G95" s="39" t="s">
        <v>382</v>
      </c>
      <c r="I95" s="33">
        <v>44777</v>
      </c>
      <c r="J95" s="18">
        <f t="shared" si="0"/>
        <v>6008956.7567567565</v>
      </c>
      <c r="K95" s="18">
        <f t="shared" si="1"/>
        <v>660985.2432432432</v>
      </c>
      <c r="L95" s="14">
        <v>6669942</v>
      </c>
      <c r="N95" s="27" t="s">
        <v>164</v>
      </c>
      <c r="Q95" s="28">
        <f>SUM(L139:L321)</f>
        <v>2057330963</v>
      </c>
    </row>
    <row r="96" spans="1:17" s="26" customFormat="1" x14ac:dyDescent="0.25">
      <c r="A96" s="13">
        <v>10</v>
      </c>
      <c r="B96" s="20" t="s">
        <v>383</v>
      </c>
      <c r="C96" s="21" t="s">
        <v>384</v>
      </c>
      <c r="D96" s="22" t="s">
        <v>31</v>
      </c>
      <c r="E96" s="16" t="s">
        <v>32</v>
      </c>
      <c r="F96" s="16" t="s">
        <v>24</v>
      </c>
      <c r="G96" s="39" t="s">
        <v>385</v>
      </c>
      <c r="I96" s="33">
        <v>44781</v>
      </c>
      <c r="J96" s="18">
        <f t="shared" si="0"/>
        <v>6818918.9189189179</v>
      </c>
      <c r="K96" s="18">
        <f t="shared" si="1"/>
        <v>750081.08108108095</v>
      </c>
      <c r="L96" s="14">
        <v>7569000</v>
      </c>
      <c r="N96" s="27" t="s">
        <v>16</v>
      </c>
      <c r="Q96" s="28">
        <f>SUM(J139:J321)</f>
        <v>1853451318.018019</v>
      </c>
    </row>
    <row r="97" spans="1:17" s="26" customFormat="1" x14ac:dyDescent="0.25">
      <c r="A97" s="13">
        <v>11</v>
      </c>
      <c r="B97" s="20" t="s">
        <v>386</v>
      </c>
      <c r="C97" s="21" t="s">
        <v>387</v>
      </c>
      <c r="D97" s="30" t="s">
        <v>28</v>
      </c>
      <c r="E97" s="31" t="s">
        <v>29</v>
      </c>
      <c r="F97" s="32" t="s">
        <v>30</v>
      </c>
      <c r="G97" s="39" t="s">
        <v>388</v>
      </c>
      <c r="I97" s="33">
        <v>44781</v>
      </c>
      <c r="J97" s="18">
        <f t="shared" si="0"/>
        <v>1906540.5405405404</v>
      </c>
      <c r="K97" s="18">
        <f t="shared" si="1"/>
        <v>209719.45945945944</v>
      </c>
      <c r="L97" s="14">
        <v>2116260</v>
      </c>
      <c r="N97" s="27" t="s">
        <v>17</v>
      </c>
      <c r="Q97" s="28">
        <f>SUM(K139:K321)</f>
        <v>203879644.9819819</v>
      </c>
    </row>
    <row r="98" spans="1:17" s="26" customFormat="1" x14ac:dyDescent="0.25">
      <c r="A98" s="13">
        <v>12</v>
      </c>
      <c r="B98" s="20" t="s">
        <v>389</v>
      </c>
      <c r="C98" s="21" t="s">
        <v>390</v>
      </c>
      <c r="D98" s="30" t="s">
        <v>25</v>
      </c>
      <c r="E98" s="31" t="s">
        <v>26</v>
      </c>
      <c r="F98" s="32" t="s">
        <v>27</v>
      </c>
      <c r="G98" s="39" t="s">
        <v>391</v>
      </c>
      <c r="I98" s="33">
        <v>44782</v>
      </c>
      <c r="J98" s="18">
        <f t="shared" si="0"/>
        <v>20077387.387387387</v>
      </c>
      <c r="K98" s="18">
        <f t="shared" si="1"/>
        <v>2208512.6126126125</v>
      </c>
      <c r="L98" s="14">
        <v>22285900</v>
      </c>
    </row>
    <row r="99" spans="1:17" s="26" customFormat="1" x14ac:dyDescent="0.25">
      <c r="A99" s="13">
        <v>13</v>
      </c>
      <c r="B99" s="20" t="s">
        <v>392</v>
      </c>
      <c r="C99" s="21" t="s">
        <v>393</v>
      </c>
      <c r="D99" s="30" t="s">
        <v>25</v>
      </c>
      <c r="E99" s="31" t="s">
        <v>26</v>
      </c>
      <c r="F99" s="32" t="s">
        <v>27</v>
      </c>
      <c r="G99" s="39" t="s">
        <v>394</v>
      </c>
      <c r="I99" s="33">
        <v>44782</v>
      </c>
      <c r="J99" s="18">
        <f t="shared" si="0"/>
        <v>24709999.999999996</v>
      </c>
      <c r="K99" s="18">
        <f t="shared" si="1"/>
        <v>2718099.9999999995</v>
      </c>
      <c r="L99" s="14">
        <v>27428100</v>
      </c>
    </row>
    <row r="100" spans="1:17" s="26" customFormat="1" x14ac:dyDescent="0.25">
      <c r="A100" s="13">
        <v>14</v>
      </c>
      <c r="B100" s="20" t="s">
        <v>395</v>
      </c>
      <c r="C100" s="21" t="s">
        <v>396</v>
      </c>
      <c r="D100" s="30" t="s">
        <v>44</v>
      </c>
      <c r="E100" s="31" t="s">
        <v>45</v>
      </c>
      <c r="F100" s="32" t="s">
        <v>24</v>
      </c>
      <c r="G100" s="39" t="s">
        <v>397</v>
      </c>
      <c r="I100" s="33">
        <v>44782</v>
      </c>
      <c r="J100" s="18">
        <f t="shared" si="0"/>
        <v>1345608.1081081079</v>
      </c>
      <c r="K100" s="18">
        <f t="shared" si="1"/>
        <v>148016.89189189186</v>
      </c>
      <c r="L100" s="14">
        <v>1493625</v>
      </c>
      <c r="Q100" s="34"/>
    </row>
    <row r="101" spans="1:17" s="26" customFormat="1" x14ac:dyDescent="0.25">
      <c r="A101" s="13">
        <v>15</v>
      </c>
      <c r="B101" s="20" t="s">
        <v>398</v>
      </c>
      <c r="C101" s="21" t="s">
        <v>399</v>
      </c>
      <c r="D101" s="30" t="s">
        <v>25</v>
      </c>
      <c r="E101" s="31" t="s">
        <v>26</v>
      </c>
      <c r="F101" s="32" t="s">
        <v>27</v>
      </c>
      <c r="G101" s="39" t="s">
        <v>400</v>
      </c>
      <c r="I101" s="33">
        <v>44784</v>
      </c>
      <c r="J101" s="18">
        <f t="shared" si="0"/>
        <v>1089729.7297297297</v>
      </c>
      <c r="K101" s="18">
        <f t="shared" si="1"/>
        <v>119870.27027027027</v>
      </c>
      <c r="L101" s="14">
        <v>1209600</v>
      </c>
      <c r="Q101" s="28"/>
    </row>
    <row r="102" spans="1:17" s="26" customFormat="1" x14ac:dyDescent="0.25">
      <c r="A102" s="13">
        <v>16</v>
      </c>
      <c r="B102" s="20" t="s">
        <v>401</v>
      </c>
      <c r="C102" s="21" t="s">
        <v>402</v>
      </c>
      <c r="D102" s="29" t="s">
        <v>33</v>
      </c>
      <c r="E102" s="23" t="s">
        <v>34</v>
      </c>
      <c r="F102" s="24" t="s">
        <v>35</v>
      </c>
      <c r="G102" s="39" t="s">
        <v>403</v>
      </c>
      <c r="I102" s="33">
        <v>44783</v>
      </c>
      <c r="J102" s="18">
        <f t="shared" si="0"/>
        <v>284837.83783783781</v>
      </c>
      <c r="K102" s="18">
        <f t="shared" si="1"/>
        <v>31332.16216216216</v>
      </c>
      <c r="L102" s="14">
        <v>316170</v>
      </c>
      <c r="Q102" s="28"/>
    </row>
    <row r="103" spans="1:17" s="26" customFormat="1" x14ac:dyDescent="0.25">
      <c r="A103" s="13">
        <v>17</v>
      </c>
      <c r="B103" s="20" t="s">
        <v>404</v>
      </c>
      <c r="C103" s="21" t="s">
        <v>405</v>
      </c>
      <c r="D103" s="22" t="s">
        <v>31</v>
      </c>
      <c r="E103" s="16" t="s">
        <v>32</v>
      </c>
      <c r="F103" s="16" t="s">
        <v>24</v>
      </c>
      <c r="G103" s="39" t="s">
        <v>406</v>
      </c>
      <c r="I103" s="33">
        <v>44784</v>
      </c>
      <c r="J103" s="18">
        <f t="shared" si="0"/>
        <v>13213416.216216216</v>
      </c>
      <c r="K103" s="18">
        <f t="shared" si="1"/>
        <v>1453475.7837837837</v>
      </c>
      <c r="L103" s="14">
        <v>14666892</v>
      </c>
    </row>
    <row r="104" spans="1:17" s="26" customFormat="1" x14ac:dyDescent="0.25">
      <c r="A104" s="13">
        <v>18</v>
      </c>
      <c r="B104" s="20" t="s">
        <v>407</v>
      </c>
      <c r="C104" s="21" t="s">
        <v>408</v>
      </c>
      <c r="D104" s="30" t="s">
        <v>41</v>
      </c>
      <c r="E104" s="31" t="s">
        <v>42</v>
      </c>
      <c r="F104" s="32" t="s">
        <v>43</v>
      </c>
      <c r="G104" s="39" t="s">
        <v>409</v>
      </c>
      <c r="I104" s="33">
        <v>44785</v>
      </c>
      <c r="J104" s="18">
        <f t="shared" si="0"/>
        <v>2653378.3783783782</v>
      </c>
      <c r="K104" s="18">
        <f t="shared" si="1"/>
        <v>291871.6216216216</v>
      </c>
      <c r="L104" s="14">
        <v>2945250</v>
      </c>
    </row>
    <row r="105" spans="1:17" s="26" customFormat="1" x14ac:dyDescent="0.25">
      <c r="A105" s="13">
        <v>19</v>
      </c>
      <c r="B105" s="20" t="s">
        <v>410</v>
      </c>
      <c r="C105" s="21" t="s">
        <v>411</v>
      </c>
      <c r="D105" s="22" t="s">
        <v>22</v>
      </c>
      <c r="E105" s="23" t="s">
        <v>23</v>
      </c>
      <c r="F105" s="24" t="s">
        <v>24</v>
      </c>
      <c r="G105" s="39" t="s">
        <v>412</v>
      </c>
      <c r="I105" s="33">
        <v>44785</v>
      </c>
      <c r="J105" s="18">
        <f t="shared" si="0"/>
        <v>9536819.8198198192</v>
      </c>
      <c r="K105" s="18">
        <f t="shared" si="1"/>
        <v>1049050.1801801801</v>
      </c>
      <c r="L105" s="14">
        <v>10585870</v>
      </c>
    </row>
    <row r="106" spans="1:17" s="26" customFormat="1" x14ac:dyDescent="0.25">
      <c r="A106" s="13">
        <v>20</v>
      </c>
      <c r="B106" s="20" t="s">
        <v>413</v>
      </c>
      <c r="C106" s="21" t="s">
        <v>414</v>
      </c>
      <c r="D106" s="22" t="s">
        <v>22</v>
      </c>
      <c r="E106" s="23" t="s">
        <v>23</v>
      </c>
      <c r="F106" s="24" t="s">
        <v>24</v>
      </c>
      <c r="G106" s="39" t="s">
        <v>415</v>
      </c>
      <c r="I106" s="25">
        <v>44785</v>
      </c>
      <c r="J106" s="18">
        <f t="shared" si="0"/>
        <v>8976210.81081081</v>
      </c>
      <c r="K106" s="18">
        <f t="shared" si="1"/>
        <v>987383.18918918911</v>
      </c>
      <c r="L106" s="14">
        <v>9963594</v>
      </c>
    </row>
    <row r="107" spans="1:17" s="26" customFormat="1" x14ac:dyDescent="0.25">
      <c r="A107" s="13">
        <v>21</v>
      </c>
      <c r="B107" s="20" t="s">
        <v>416</v>
      </c>
      <c r="C107" s="21" t="s">
        <v>417</v>
      </c>
      <c r="D107" s="22" t="s">
        <v>36</v>
      </c>
      <c r="E107" s="23" t="s">
        <v>37</v>
      </c>
      <c r="F107" s="24" t="s">
        <v>24</v>
      </c>
      <c r="G107" s="39" t="s">
        <v>418</v>
      </c>
      <c r="I107" s="33">
        <v>44785</v>
      </c>
      <c r="J107" s="18">
        <f t="shared" si="0"/>
        <v>235945.94594594592</v>
      </c>
      <c r="K107" s="18">
        <f t="shared" si="1"/>
        <v>25954.05405405405</v>
      </c>
      <c r="L107" s="14">
        <v>261900</v>
      </c>
    </row>
    <row r="108" spans="1:17" s="26" customFormat="1" x14ac:dyDescent="0.25">
      <c r="A108" s="13">
        <v>22</v>
      </c>
      <c r="B108" s="20" t="s">
        <v>419</v>
      </c>
      <c r="C108" s="21" t="s">
        <v>420</v>
      </c>
      <c r="D108" s="30" t="s">
        <v>25</v>
      </c>
      <c r="E108" s="31" t="s">
        <v>26</v>
      </c>
      <c r="F108" s="32" t="s">
        <v>27</v>
      </c>
      <c r="G108" s="39" t="s">
        <v>421</v>
      </c>
      <c r="I108" s="33">
        <v>44786</v>
      </c>
      <c r="J108" s="18">
        <f t="shared" si="0"/>
        <v>13417297.297297297</v>
      </c>
      <c r="K108" s="18">
        <f t="shared" si="1"/>
        <v>1475902.7027027027</v>
      </c>
      <c r="L108" s="14">
        <v>14893200</v>
      </c>
    </row>
    <row r="109" spans="1:17" s="26" customFormat="1" x14ac:dyDescent="0.25">
      <c r="A109" s="13">
        <v>23</v>
      </c>
      <c r="B109" s="20" t="s">
        <v>422</v>
      </c>
      <c r="C109" s="21" t="s">
        <v>423</v>
      </c>
      <c r="D109" s="30" t="s">
        <v>25</v>
      </c>
      <c r="E109" s="31" t="s">
        <v>26</v>
      </c>
      <c r="F109" s="32" t="s">
        <v>27</v>
      </c>
      <c r="G109" s="39" t="s">
        <v>424</v>
      </c>
      <c r="I109" s="33">
        <v>44788</v>
      </c>
      <c r="J109" s="18">
        <f t="shared" si="0"/>
        <v>41352972.972972967</v>
      </c>
      <c r="K109" s="18">
        <f t="shared" si="1"/>
        <v>4548827.0270270268</v>
      </c>
      <c r="L109" s="14">
        <v>45901800</v>
      </c>
    </row>
    <row r="110" spans="1:17" s="26" customFormat="1" x14ac:dyDescent="0.25">
      <c r="A110" s="13">
        <v>24</v>
      </c>
      <c r="B110" s="20" t="s">
        <v>425</v>
      </c>
      <c r="C110" s="21" t="s">
        <v>426</v>
      </c>
      <c r="D110" s="22" t="s">
        <v>22</v>
      </c>
      <c r="E110" s="23" t="s">
        <v>23</v>
      </c>
      <c r="F110" s="24" t="s">
        <v>24</v>
      </c>
      <c r="G110" s="39" t="s">
        <v>427</v>
      </c>
      <c r="I110" s="33">
        <v>44788</v>
      </c>
      <c r="J110" s="18">
        <f t="shared" si="0"/>
        <v>20978821.62162162</v>
      </c>
      <c r="K110" s="18">
        <f t="shared" si="1"/>
        <v>2307670.3783783782</v>
      </c>
      <c r="L110" s="14">
        <v>23286492</v>
      </c>
    </row>
    <row r="111" spans="1:17" s="26" customFormat="1" x14ac:dyDescent="0.25">
      <c r="A111" s="13">
        <v>25</v>
      </c>
      <c r="B111" s="20" t="s">
        <v>428</v>
      </c>
      <c r="C111" s="21" t="s">
        <v>429</v>
      </c>
      <c r="D111" s="22" t="s">
        <v>31</v>
      </c>
      <c r="E111" s="16" t="s">
        <v>32</v>
      </c>
      <c r="F111" s="16" t="s">
        <v>24</v>
      </c>
      <c r="G111" s="39" t="s">
        <v>430</v>
      </c>
      <c r="I111" s="33">
        <v>44789</v>
      </c>
      <c r="J111" s="18">
        <f t="shared" si="0"/>
        <v>3583459.4594594589</v>
      </c>
      <c r="K111" s="18">
        <f t="shared" si="1"/>
        <v>394180.54054054047</v>
      </c>
      <c r="L111" s="14">
        <v>3977640</v>
      </c>
    </row>
    <row r="112" spans="1:17" s="26" customFormat="1" x14ac:dyDescent="0.25">
      <c r="A112" s="13">
        <v>26</v>
      </c>
      <c r="B112" s="20" t="s">
        <v>431</v>
      </c>
      <c r="C112" s="21" t="s">
        <v>432</v>
      </c>
      <c r="D112" s="22" t="s">
        <v>22</v>
      </c>
      <c r="E112" s="23" t="s">
        <v>23</v>
      </c>
      <c r="F112" s="24" t="s">
        <v>24</v>
      </c>
      <c r="G112" s="39" t="s">
        <v>433</v>
      </c>
      <c r="I112" s="33">
        <v>44789</v>
      </c>
      <c r="J112" s="18">
        <f t="shared" si="0"/>
        <v>5161945.9459459456</v>
      </c>
      <c r="K112" s="18">
        <f t="shared" si="1"/>
        <v>567814.05405405397</v>
      </c>
      <c r="L112" s="14">
        <v>5729760</v>
      </c>
    </row>
    <row r="113" spans="1:12" s="26" customFormat="1" x14ac:dyDescent="0.25">
      <c r="A113" s="13">
        <v>27</v>
      </c>
      <c r="B113" s="20" t="s">
        <v>434</v>
      </c>
      <c r="C113" s="21" t="s">
        <v>435</v>
      </c>
      <c r="D113" s="30" t="s">
        <v>41</v>
      </c>
      <c r="E113" s="31" t="s">
        <v>42</v>
      </c>
      <c r="F113" s="32" t="s">
        <v>43</v>
      </c>
      <c r="G113" s="39" t="s">
        <v>436</v>
      </c>
      <c r="I113" s="33">
        <v>44789</v>
      </c>
      <c r="J113" s="18">
        <f t="shared" si="0"/>
        <v>1332612.6126126125</v>
      </c>
      <c r="K113" s="18">
        <f t="shared" si="1"/>
        <v>146587.38738738737</v>
      </c>
      <c r="L113" s="14">
        <v>1479200</v>
      </c>
    </row>
    <row r="114" spans="1:12" s="26" customFormat="1" x14ac:dyDescent="0.25">
      <c r="A114" s="13">
        <v>28</v>
      </c>
      <c r="B114" s="20" t="s">
        <v>437</v>
      </c>
      <c r="C114" s="21" t="s">
        <v>438</v>
      </c>
      <c r="D114" s="22" t="s">
        <v>38</v>
      </c>
      <c r="E114" s="23" t="s">
        <v>39</v>
      </c>
      <c r="F114" s="24" t="s">
        <v>40</v>
      </c>
      <c r="G114" s="39" t="s">
        <v>439</v>
      </c>
      <c r="I114" s="33">
        <v>44791</v>
      </c>
      <c r="J114" s="18">
        <f t="shared" si="0"/>
        <v>3697297.297297297</v>
      </c>
      <c r="K114" s="18">
        <f t="shared" si="1"/>
        <v>406702.70270270266</v>
      </c>
      <c r="L114" s="14">
        <v>4104000</v>
      </c>
    </row>
    <row r="115" spans="1:12" s="26" customFormat="1" x14ac:dyDescent="0.25">
      <c r="A115" s="13">
        <v>29</v>
      </c>
      <c r="B115" s="20" t="s">
        <v>440</v>
      </c>
      <c r="C115" s="21" t="s">
        <v>441</v>
      </c>
      <c r="D115" s="22" t="s">
        <v>22</v>
      </c>
      <c r="E115" s="23" t="s">
        <v>23</v>
      </c>
      <c r="F115" s="24" t="s">
        <v>24</v>
      </c>
      <c r="G115" s="39" t="s">
        <v>442</v>
      </c>
      <c r="I115" s="33">
        <v>44793</v>
      </c>
      <c r="J115" s="18">
        <f t="shared" si="0"/>
        <v>14487113.513513513</v>
      </c>
      <c r="K115" s="18">
        <f t="shared" si="1"/>
        <v>1593582.4864864864</v>
      </c>
      <c r="L115" s="14">
        <v>16080696</v>
      </c>
    </row>
    <row r="116" spans="1:12" s="26" customFormat="1" x14ac:dyDescent="0.25">
      <c r="A116" s="13">
        <v>30</v>
      </c>
      <c r="B116" s="20" t="s">
        <v>443</v>
      </c>
      <c r="C116" s="21" t="s">
        <v>444</v>
      </c>
      <c r="D116" s="30" t="s">
        <v>25</v>
      </c>
      <c r="E116" s="31" t="s">
        <v>26</v>
      </c>
      <c r="F116" s="32" t="s">
        <v>27</v>
      </c>
      <c r="G116" s="39" t="s">
        <v>445</v>
      </c>
      <c r="I116" s="33">
        <v>44793</v>
      </c>
      <c r="J116" s="18">
        <f t="shared" si="0"/>
        <v>15341351.351351351</v>
      </c>
      <c r="K116" s="18">
        <f t="shared" si="1"/>
        <v>1687548.6486486485</v>
      </c>
      <c r="L116" s="14">
        <v>17028900</v>
      </c>
    </row>
    <row r="117" spans="1:12" s="26" customFormat="1" x14ac:dyDescent="0.25">
      <c r="A117" s="13">
        <v>31</v>
      </c>
      <c r="B117" s="20" t="s">
        <v>446</v>
      </c>
      <c r="C117" s="21" t="s">
        <v>447</v>
      </c>
      <c r="D117" s="22" t="s">
        <v>31</v>
      </c>
      <c r="E117" s="16" t="s">
        <v>32</v>
      </c>
      <c r="F117" s="16" t="s">
        <v>24</v>
      </c>
      <c r="G117" s="39" t="s">
        <v>448</v>
      </c>
      <c r="I117" s="33">
        <v>44793</v>
      </c>
      <c r="J117" s="18">
        <f t="shared" si="0"/>
        <v>8809102.7027027011</v>
      </c>
      <c r="K117" s="18">
        <f t="shared" si="1"/>
        <v>969001.29729729716</v>
      </c>
      <c r="L117" s="14">
        <v>9778104</v>
      </c>
    </row>
    <row r="118" spans="1:12" s="26" customFormat="1" x14ac:dyDescent="0.25">
      <c r="A118" s="13">
        <v>32</v>
      </c>
      <c r="B118" s="20" t="s">
        <v>449</v>
      </c>
      <c r="C118" s="21" t="s">
        <v>450</v>
      </c>
      <c r="D118" s="22" t="s">
        <v>31</v>
      </c>
      <c r="E118" s="16" t="s">
        <v>32</v>
      </c>
      <c r="F118" s="16" t="s">
        <v>24</v>
      </c>
      <c r="G118" s="39" t="s">
        <v>451</v>
      </c>
      <c r="I118" s="33">
        <v>44796</v>
      </c>
      <c r="J118" s="18">
        <f t="shared" si="0"/>
        <v>12191286.486486485</v>
      </c>
      <c r="K118" s="18">
        <f t="shared" si="1"/>
        <v>1341041.5135135134</v>
      </c>
      <c r="L118" s="14">
        <v>13532328</v>
      </c>
    </row>
    <row r="119" spans="1:12" s="26" customFormat="1" x14ac:dyDescent="0.25">
      <c r="A119" s="13">
        <v>33</v>
      </c>
      <c r="B119" s="20" t="s">
        <v>452</v>
      </c>
      <c r="C119" s="21" t="s">
        <v>453</v>
      </c>
      <c r="D119" s="30" t="s">
        <v>454</v>
      </c>
      <c r="E119" s="7" t="s">
        <v>455</v>
      </c>
      <c r="F119" s="7" t="s">
        <v>133</v>
      </c>
      <c r="G119" s="39" t="s">
        <v>456</v>
      </c>
      <c r="I119" s="33">
        <v>44799</v>
      </c>
      <c r="J119" s="18">
        <f t="shared" si="0"/>
        <v>7264864.8648648644</v>
      </c>
      <c r="K119" s="18">
        <f t="shared" si="1"/>
        <v>799135.13513513503</v>
      </c>
      <c r="L119" s="14">
        <v>8064000</v>
      </c>
    </row>
    <row r="120" spans="1:12" s="26" customFormat="1" x14ac:dyDescent="0.25">
      <c r="A120" s="13">
        <v>34</v>
      </c>
      <c r="B120" s="20" t="s">
        <v>457</v>
      </c>
      <c r="C120" s="21" t="s">
        <v>458</v>
      </c>
      <c r="D120" s="22" t="s">
        <v>459</v>
      </c>
      <c r="E120" s="23" t="s">
        <v>460</v>
      </c>
      <c r="F120" s="16" t="s">
        <v>461</v>
      </c>
      <c r="G120" s="39" t="s">
        <v>462</v>
      </c>
      <c r="I120" s="33">
        <v>44799</v>
      </c>
      <c r="J120" s="18">
        <f t="shared" si="0"/>
        <v>3188918.9189189188</v>
      </c>
      <c r="K120" s="18">
        <f t="shared" si="1"/>
        <v>350781.08108108107</v>
      </c>
      <c r="L120" s="14">
        <v>3539700</v>
      </c>
    </row>
    <row r="121" spans="1:12" s="26" customFormat="1" x14ac:dyDescent="0.25">
      <c r="A121" s="13">
        <v>35</v>
      </c>
      <c r="B121" s="20" t="s">
        <v>463</v>
      </c>
      <c r="C121" s="21" t="s">
        <v>464</v>
      </c>
      <c r="D121" s="30" t="s">
        <v>25</v>
      </c>
      <c r="E121" s="31" t="s">
        <v>26</v>
      </c>
      <c r="F121" s="32" t="s">
        <v>27</v>
      </c>
      <c r="G121" s="39" t="s">
        <v>465</v>
      </c>
      <c r="I121" s="33">
        <v>44799</v>
      </c>
      <c r="J121" s="18">
        <f t="shared" si="0"/>
        <v>14245945.945945945</v>
      </c>
      <c r="K121" s="18">
        <f t="shared" si="1"/>
        <v>1567054.054054054</v>
      </c>
      <c r="L121" s="14">
        <v>15813000</v>
      </c>
    </row>
    <row r="122" spans="1:12" s="26" customFormat="1" x14ac:dyDescent="0.25">
      <c r="A122" s="13">
        <v>36</v>
      </c>
      <c r="B122" s="20" t="s">
        <v>466</v>
      </c>
      <c r="C122" s="21" t="s">
        <v>467</v>
      </c>
      <c r="D122" s="22" t="s">
        <v>22</v>
      </c>
      <c r="E122" s="23" t="s">
        <v>23</v>
      </c>
      <c r="F122" s="24" t="s">
        <v>24</v>
      </c>
      <c r="G122" s="39" t="s">
        <v>468</v>
      </c>
      <c r="I122" s="33">
        <v>44799</v>
      </c>
      <c r="J122" s="18">
        <f t="shared" si="0"/>
        <v>9538378.3783783782</v>
      </c>
      <c r="K122" s="18">
        <f t="shared" si="1"/>
        <v>1049221.6216216215</v>
      </c>
      <c r="L122" s="14">
        <v>10587600</v>
      </c>
    </row>
    <row r="123" spans="1:12" s="26" customFormat="1" x14ac:dyDescent="0.25">
      <c r="A123" s="13">
        <v>37</v>
      </c>
      <c r="B123" s="20" t="s">
        <v>469</v>
      </c>
      <c r="C123" s="21" t="s">
        <v>470</v>
      </c>
      <c r="D123" s="22" t="s">
        <v>471</v>
      </c>
      <c r="E123" s="23" t="s">
        <v>472</v>
      </c>
      <c r="F123" s="24" t="s">
        <v>75</v>
      </c>
      <c r="G123" s="39" t="s">
        <v>473</v>
      </c>
      <c r="I123" s="33">
        <v>44799</v>
      </c>
      <c r="J123" s="18">
        <f t="shared" si="0"/>
        <v>913621.62162162154</v>
      </c>
      <c r="K123" s="18">
        <f t="shared" si="1"/>
        <v>100498.37837837837</v>
      </c>
      <c r="L123" s="14">
        <v>1014120</v>
      </c>
    </row>
    <row r="124" spans="1:12" s="26" customFormat="1" x14ac:dyDescent="0.25">
      <c r="A124" s="13">
        <v>38</v>
      </c>
      <c r="B124" s="20" t="s">
        <v>474</v>
      </c>
      <c r="C124" s="21" t="s">
        <v>475</v>
      </c>
      <c r="D124" s="30" t="s">
        <v>25</v>
      </c>
      <c r="E124" s="31" t="s">
        <v>26</v>
      </c>
      <c r="F124" s="32" t="s">
        <v>27</v>
      </c>
      <c r="G124" s="39" t="s">
        <v>476</v>
      </c>
      <c r="I124" s="33">
        <v>44800</v>
      </c>
      <c r="J124" s="18">
        <f t="shared" si="0"/>
        <v>15791148.648648648</v>
      </c>
      <c r="K124" s="18">
        <f t="shared" si="1"/>
        <v>1737026.3513513512</v>
      </c>
      <c r="L124" s="14">
        <v>17528175</v>
      </c>
    </row>
    <row r="125" spans="1:12" s="26" customFormat="1" x14ac:dyDescent="0.25">
      <c r="A125" s="13">
        <v>39</v>
      </c>
      <c r="B125" s="20" t="s">
        <v>477</v>
      </c>
      <c r="C125" s="21" t="s">
        <v>478</v>
      </c>
      <c r="D125" s="22" t="s">
        <v>19</v>
      </c>
      <c r="E125" s="23" t="s">
        <v>20</v>
      </c>
      <c r="F125" s="24" t="s">
        <v>21</v>
      </c>
      <c r="G125" s="39" t="s">
        <v>479</v>
      </c>
      <c r="I125" s="33">
        <v>44800</v>
      </c>
      <c r="J125" s="18">
        <f t="shared" si="0"/>
        <v>18184864.864864863</v>
      </c>
      <c r="K125" s="18">
        <f t="shared" si="1"/>
        <v>2000335.1351351349</v>
      </c>
      <c r="L125" s="14">
        <v>20185200</v>
      </c>
    </row>
    <row r="126" spans="1:12" s="26" customFormat="1" x14ac:dyDescent="0.25">
      <c r="A126" s="13">
        <v>40</v>
      </c>
      <c r="B126" s="20" t="s">
        <v>480</v>
      </c>
      <c r="C126" s="21" t="s">
        <v>481</v>
      </c>
      <c r="D126" s="30" t="s">
        <v>41</v>
      </c>
      <c r="E126" s="31" t="s">
        <v>42</v>
      </c>
      <c r="F126" s="32" t="s">
        <v>43</v>
      </c>
      <c r="G126" s="39" t="s">
        <v>482</v>
      </c>
      <c r="I126" s="33">
        <v>44800</v>
      </c>
      <c r="J126" s="18">
        <f t="shared" si="0"/>
        <v>292792.79279279278</v>
      </c>
      <c r="K126" s="18">
        <f t="shared" si="1"/>
        <v>32207.207207207208</v>
      </c>
      <c r="L126" s="14">
        <v>325000</v>
      </c>
    </row>
    <row r="127" spans="1:12" s="26" customFormat="1" x14ac:dyDescent="0.25">
      <c r="A127" s="13">
        <v>41</v>
      </c>
      <c r="B127" s="20" t="s">
        <v>483</v>
      </c>
      <c r="C127" s="21" t="s">
        <v>484</v>
      </c>
      <c r="D127" s="22" t="s">
        <v>31</v>
      </c>
      <c r="E127" s="16" t="s">
        <v>32</v>
      </c>
      <c r="F127" s="16" t="s">
        <v>24</v>
      </c>
      <c r="G127" s="39" t="s">
        <v>485</v>
      </c>
      <c r="I127" s="25">
        <v>44802</v>
      </c>
      <c r="J127" s="18">
        <f t="shared" si="0"/>
        <v>1809599.9999999998</v>
      </c>
      <c r="K127" s="18">
        <f t="shared" si="1"/>
        <v>199055.99999999997</v>
      </c>
      <c r="L127" s="14">
        <v>2008656</v>
      </c>
    </row>
    <row r="128" spans="1:12" s="26" customFormat="1" x14ac:dyDescent="0.25">
      <c r="A128" s="13">
        <v>42</v>
      </c>
      <c r="B128" s="20" t="s">
        <v>486</v>
      </c>
      <c r="C128" s="21" t="s">
        <v>487</v>
      </c>
      <c r="D128" s="22" t="s">
        <v>22</v>
      </c>
      <c r="E128" s="23" t="s">
        <v>23</v>
      </c>
      <c r="F128" s="24" t="s">
        <v>24</v>
      </c>
      <c r="G128" s="39" t="s">
        <v>488</v>
      </c>
      <c r="I128" s="33">
        <v>44802</v>
      </c>
      <c r="J128" s="18">
        <f t="shared" si="0"/>
        <v>4402616.2162162159</v>
      </c>
      <c r="K128" s="18">
        <f t="shared" si="1"/>
        <v>484287.78378378373</v>
      </c>
      <c r="L128" s="14">
        <v>4886904</v>
      </c>
    </row>
    <row r="129" spans="1:12" s="26" customFormat="1" x14ac:dyDescent="0.25">
      <c r="A129" s="13">
        <v>43</v>
      </c>
      <c r="B129" s="20" t="s">
        <v>489</v>
      </c>
      <c r="C129" s="21" t="s">
        <v>490</v>
      </c>
      <c r="D129" s="30" t="s">
        <v>25</v>
      </c>
      <c r="E129" s="31" t="s">
        <v>26</v>
      </c>
      <c r="F129" s="32" t="s">
        <v>27</v>
      </c>
      <c r="G129" s="39" t="s">
        <v>491</v>
      </c>
      <c r="I129" s="33">
        <v>44802</v>
      </c>
      <c r="J129" s="18">
        <f t="shared" si="0"/>
        <v>6606486.4864864862</v>
      </c>
      <c r="K129" s="18">
        <f t="shared" si="1"/>
        <v>726713.51351351349</v>
      </c>
      <c r="L129" s="14">
        <v>7333200</v>
      </c>
    </row>
    <row r="130" spans="1:12" s="26" customFormat="1" x14ac:dyDescent="0.25">
      <c r="A130" s="13">
        <v>44</v>
      </c>
      <c r="B130" s="20" t="s">
        <v>492</v>
      </c>
      <c r="C130" s="21" t="s">
        <v>493</v>
      </c>
      <c r="D130" s="22" t="s">
        <v>31</v>
      </c>
      <c r="E130" s="16" t="s">
        <v>32</v>
      </c>
      <c r="F130" s="16" t="s">
        <v>24</v>
      </c>
      <c r="G130" s="39" t="s">
        <v>494</v>
      </c>
      <c r="I130" s="33">
        <v>44797</v>
      </c>
      <c r="J130" s="18">
        <f t="shared" si="0"/>
        <v>5660172.9729729723</v>
      </c>
      <c r="K130" s="18">
        <f t="shared" si="1"/>
        <v>622619.02702702698</v>
      </c>
      <c r="L130" s="14">
        <v>6282792</v>
      </c>
    </row>
    <row r="131" spans="1:12" s="26" customFormat="1" x14ac:dyDescent="0.25">
      <c r="A131" s="13">
        <v>45</v>
      </c>
      <c r="B131" s="20" t="s">
        <v>495</v>
      </c>
      <c r="C131" s="21" t="s">
        <v>496</v>
      </c>
      <c r="D131" s="22" t="s">
        <v>31</v>
      </c>
      <c r="E131" s="16" t="s">
        <v>32</v>
      </c>
      <c r="F131" s="16" t="s">
        <v>24</v>
      </c>
      <c r="G131" s="39" t="s">
        <v>497</v>
      </c>
      <c r="I131" s="33">
        <v>44804</v>
      </c>
      <c r="J131" s="18">
        <f t="shared" si="0"/>
        <v>3927697.297297297</v>
      </c>
      <c r="K131" s="18">
        <f t="shared" si="1"/>
        <v>432046.70270270266</v>
      </c>
      <c r="L131" s="14">
        <v>4359744</v>
      </c>
    </row>
    <row r="132" spans="1:12" s="26" customFormat="1" x14ac:dyDescent="0.25">
      <c r="A132" s="13">
        <v>46</v>
      </c>
      <c r="B132" s="20" t="s">
        <v>498</v>
      </c>
      <c r="C132" s="21" t="s">
        <v>499</v>
      </c>
      <c r="D132" s="30" t="s">
        <v>454</v>
      </c>
      <c r="E132" s="7" t="s">
        <v>455</v>
      </c>
      <c r="F132" s="7" t="s">
        <v>133</v>
      </c>
      <c r="G132" s="39" t="s">
        <v>500</v>
      </c>
      <c r="I132" s="33">
        <v>44804</v>
      </c>
      <c r="J132" s="18">
        <f t="shared" si="0"/>
        <v>5081081.0810810803</v>
      </c>
      <c r="K132" s="18">
        <f t="shared" si="1"/>
        <v>558918.91891891882</v>
      </c>
      <c r="L132" s="14">
        <v>5640000</v>
      </c>
    </row>
    <row r="133" spans="1:12" s="26" customFormat="1" x14ac:dyDescent="0.25">
      <c r="A133" s="13">
        <v>47</v>
      </c>
      <c r="B133" s="20" t="s">
        <v>501</v>
      </c>
      <c r="C133" s="21" t="s">
        <v>502</v>
      </c>
      <c r="D133" s="22" t="s">
        <v>22</v>
      </c>
      <c r="E133" s="23" t="s">
        <v>23</v>
      </c>
      <c r="F133" s="24" t="s">
        <v>24</v>
      </c>
      <c r="G133" s="39" t="s">
        <v>503</v>
      </c>
      <c r="I133" s="33">
        <v>44804</v>
      </c>
      <c r="J133" s="18">
        <f t="shared" si="0"/>
        <v>3822364.8648648644</v>
      </c>
      <c r="K133" s="18">
        <f t="shared" si="1"/>
        <v>420460.13513513509</v>
      </c>
      <c r="L133" s="14">
        <v>4242825</v>
      </c>
    </row>
    <row r="134" spans="1:12" s="26" customFormat="1" x14ac:dyDescent="0.25">
      <c r="A134" s="13">
        <v>48</v>
      </c>
      <c r="B134" s="20" t="s">
        <v>504</v>
      </c>
      <c r="C134" s="21" t="s">
        <v>505</v>
      </c>
      <c r="D134" s="22" t="s">
        <v>36</v>
      </c>
      <c r="E134" s="23" t="s">
        <v>37</v>
      </c>
      <c r="F134" s="24" t="s">
        <v>24</v>
      </c>
      <c r="G134" s="39" t="s">
        <v>506</v>
      </c>
      <c r="I134" s="33">
        <v>44804</v>
      </c>
      <c r="J134" s="18">
        <f t="shared" si="0"/>
        <v>2522522.5225225221</v>
      </c>
      <c r="K134" s="18">
        <f t="shared" si="1"/>
        <v>277477.47747747746</v>
      </c>
      <c r="L134" s="14">
        <v>2800000</v>
      </c>
    </row>
    <row r="135" spans="1:12" s="26" customFormat="1" x14ac:dyDescent="0.25">
      <c r="A135" s="13">
        <v>49</v>
      </c>
      <c r="B135" s="20" t="s">
        <v>507</v>
      </c>
      <c r="C135" s="21" t="s">
        <v>508</v>
      </c>
      <c r="D135" s="30" t="s">
        <v>28</v>
      </c>
      <c r="E135" s="31" t="s">
        <v>29</v>
      </c>
      <c r="F135" s="32" t="s">
        <v>30</v>
      </c>
      <c r="G135" s="39" t="s">
        <v>509</v>
      </c>
      <c r="I135" s="33">
        <v>44804</v>
      </c>
      <c r="J135" s="18">
        <f t="shared" si="0"/>
        <v>377027.02702702698</v>
      </c>
      <c r="K135" s="18">
        <f t="shared" si="1"/>
        <v>41472.972972972966</v>
      </c>
      <c r="L135" s="14">
        <v>418500</v>
      </c>
    </row>
    <row r="136" spans="1:12" s="26" customFormat="1" x14ac:dyDescent="0.25">
      <c r="A136" s="13">
        <v>50</v>
      </c>
      <c r="B136" s="20" t="s">
        <v>510</v>
      </c>
      <c r="C136" s="21" t="s">
        <v>511</v>
      </c>
      <c r="D136" s="30" t="s">
        <v>25</v>
      </c>
      <c r="E136" s="31" t="s">
        <v>26</v>
      </c>
      <c r="F136" s="32" t="s">
        <v>27</v>
      </c>
      <c r="G136" s="39" t="s">
        <v>512</v>
      </c>
      <c r="I136" s="33">
        <v>44804</v>
      </c>
      <c r="J136" s="18">
        <f t="shared" si="0"/>
        <v>1793513.5135135134</v>
      </c>
      <c r="K136" s="18">
        <f t="shared" si="1"/>
        <v>197286.48648648648</v>
      </c>
      <c r="L136" s="14">
        <v>1990800</v>
      </c>
    </row>
    <row r="137" spans="1:12" s="26" customFormat="1" x14ac:dyDescent="0.25">
      <c r="A137" s="13">
        <v>51</v>
      </c>
      <c r="B137" s="20" t="s">
        <v>513</v>
      </c>
      <c r="C137" s="21" t="s">
        <v>514</v>
      </c>
      <c r="D137" s="29" t="s">
        <v>33</v>
      </c>
      <c r="E137" s="23" t="s">
        <v>34</v>
      </c>
      <c r="F137" s="24" t="s">
        <v>35</v>
      </c>
      <c r="G137" s="39" t="s">
        <v>515</v>
      </c>
      <c r="I137" s="33">
        <v>44804</v>
      </c>
      <c r="J137" s="18">
        <f t="shared" si="0"/>
        <v>1264909.9099099098</v>
      </c>
      <c r="K137" s="18">
        <f t="shared" si="1"/>
        <v>139140.09009009009</v>
      </c>
      <c r="L137" s="14">
        <v>1404050</v>
      </c>
    </row>
    <row r="138" spans="1:12" s="26" customFormat="1" x14ac:dyDescent="0.25">
      <c r="A138" s="13">
        <v>52</v>
      </c>
      <c r="B138" s="20" t="s">
        <v>516</v>
      </c>
      <c r="C138" s="21" t="s">
        <v>517</v>
      </c>
      <c r="D138" s="22" t="s">
        <v>38</v>
      </c>
      <c r="E138" s="23" t="s">
        <v>39</v>
      </c>
      <c r="F138" s="24" t="s">
        <v>40</v>
      </c>
      <c r="G138" s="39" t="s">
        <v>518</v>
      </c>
      <c r="I138" s="33">
        <v>44791</v>
      </c>
      <c r="J138" s="18">
        <f>L138/1.11</f>
        <v>2724324.3243243243</v>
      </c>
      <c r="K138" s="18">
        <f>J138*11%</f>
        <v>299675.67567567568</v>
      </c>
      <c r="L138" s="14">
        <v>3024000</v>
      </c>
    </row>
    <row r="139" spans="1:12" s="26" customFormat="1" x14ac:dyDescent="0.25">
      <c r="A139" s="13">
        <v>53</v>
      </c>
      <c r="B139" s="20" t="s">
        <v>519</v>
      </c>
      <c r="C139" s="21" t="s">
        <v>520</v>
      </c>
      <c r="D139" s="30"/>
      <c r="E139" s="7" t="s">
        <v>160</v>
      </c>
      <c r="F139" s="7" t="s">
        <v>152</v>
      </c>
      <c r="G139" s="39"/>
      <c r="I139" s="25">
        <v>44775</v>
      </c>
      <c r="J139" s="18">
        <f t="shared" ref="J139:J202" si="2">L139/1.11</f>
        <v>31735183.783783782</v>
      </c>
      <c r="K139" s="18">
        <f t="shared" ref="K139:K202" si="3">J139*11%</f>
        <v>3490870.2162162159</v>
      </c>
      <c r="L139" s="14">
        <f>1012662+818775+1857600+17348463+10962810+3225744</f>
        <v>35226054</v>
      </c>
    </row>
    <row r="140" spans="1:12" s="26" customFormat="1" x14ac:dyDescent="0.25">
      <c r="A140" s="13">
        <v>54</v>
      </c>
      <c r="B140" s="20" t="s">
        <v>521</v>
      </c>
      <c r="C140" s="21" t="s">
        <v>522</v>
      </c>
      <c r="D140" s="30"/>
      <c r="E140" s="31" t="s">
        <v>48</v>
      </c>
      <c r="F140" s="32" t="s">
        <v>49</v>
      </c>
      <c r="G140" s="39"/>
      <c r="I140" s="33">
        <v>44775</v>
      </c>
      <c r="J140" s="18">
        <f t="shared" si="2"/>
        <v>15565924.324324323</v>
      </c>
      <c r="K140" s="18">
        <f t="shared" si="3"/>
        <v>1712251.6756756755</v>
      </c>
      <c r="L140" s="14">
        <f>8224416+3423000+5630760</f>
        <v>17278176</v>
      </c>
    </row>
    <row r="141" spans="1:12" s="26" customFormat="1" x14ac:dyDescent="0.25">
      <c r="A141" s="13">
        <v>55</v>
      </c>
      <c r="B141" s="20" t="s">
        <v>523</v>
      </c>
      <c r="C141" s="21" t="s">
        <v>524</v>
      </c>
      <c r="D141" s="30"/>
      <c r="E141" s="31" t="s">
        <v>138</v>
      </c>
      <c r="F141" s="32" t="s">
        <v>72</v>
      </c>
      <c r="G141" s="39"/>
      <c r="I141" s="33">
        <v>44776</v>
      </c>
      <c r="J141" s="18">
        <f t="shared" si="2"/>
        <v>22496594.594594594</v>
      </c>
      <c r="K141" s="18">
        <f t="shared" si="3"/>
        <v>2474625.4054054054</v>
      </c>
      <c r="L141" s="14">
        <f>19206720+2608200+3156300</f>
        <v>24971220</v>
      </c>
    </row>
    <row r="142" spans="1:12" s="26" customFormat="1" x14ac:dyDescent="0.25">
      <c r="A142" s="13">
        <v>56</v>
      </c>
      <c r="B142" s="20" t="s">
        <v>525</v>
      </c>
      <c r="C142" s="21" t="s">
        <v>526</v>
      </c>
      <c r="D142" s="30"/>
      <c r="E142" s="35" t="s">
        <v>121</v>
      </c>
      <c r="F142" s="32" t="s">
        <v>59</v>
      </c>
      <c r="G142" s="39"/>
      <c r="I142" s="33">
        <v>44776</v>
      </c>
      <c r="J142" s="18">
        <f t="shared" si="2"/>
        <v>2706202.7027027025</v>
      </c>
      <c r="K142" s="18">
        <f t="shared" si="3"/>
        <v>297682.29729729728</v>
      </c>
      <c r="L142" s="14">
        <f>146205+2857680</f>
        <v>3003885</v>
      </c>
    </row>
    <row r="143" spans="1:12" s="26" customFormat="1" x14ac:dyDescent="0.25">
      <c r="A143" s="13">
        <v>57</v>
      </c>
      <c r="B143" s="20" t="s">
        <v>527</v>
      </c>
      <c r="C143" s="21" t="s">
        <v>528</v>
      </c>
      <c r="D143" s="30"/>
      <c r="E143" s="31" t="s">
        <v>104</v>
      </c>
      <c r="F143" s="32" t="s">
        <v>47</v>
      </c>
      <c r="G143" s="39"/>
      <c r="I143" s="33">
        <v>44777</v>
      </c>
      <c r="J143" s="18">
        <f t="shared" si="2"/>
        <v>21378434.234234232</v>
      </c>
      <c r="K143" s="18">
        <f t="shared" si="3"/>
        <v>2351627.7657657657</v>
      </c>
      <c r="L143" s="14">
        <f>7433712+1205400+15090950</f>
        <v>23730062</v>
      </c>
    </row>
    <row r="144" spans="1:12" s="26" customFormat="1" x14ac:dyDescent="0.25">
      <c r="A144" s="13">
        <v>58</v>
      </c>
      <c r="B144" s="20" t="s">
        <v>529</v>
      </c>
      <c r="C144" s="21" t="s">
        <v>530</v>
      </c>
      <c r="D144" s="30"/>
      <c r="E144" s="31" t="s">
        <v>116</v>
      </c>
      <c r="F144" s="32" t="s">
        <v>47</v>
      </c>
      <c r="G144" s="39"/>
      <c r="I144" s="33">
        <v>44777</v>
      </c>
      <c r="J144" s="18">
        <f t="shared" si="2"/>
        <v>18836809.909909908</v>
      </c>
      <c r="K144" s="18">
        <f t="shared" si="3"/>
        <v>2072049.0900900899</v>
      </c>
      <c r="L144" s="14">
        <f>8123184+1203125+11582550</f>
        <v>20908859</v>
      </c>
    </row>
    <row r="145" spans="1:12" s="26" customFormat="1" x14ac:dyDescent="0.25">
      <c r="A145" s="13">
        <v>59</v>
      </c>
      <c r="B145" s="20" t="s">
        <v>531</v>
      </c>
      <c r="C145" s="21" t="s">
        <v>532</v>
      </c>
      <c r="D145" s="30"/>
      <c r="E145" s="31" t="s">
        <v>90</v>
      </c>
      <c r="F145" s="32" t="s">
        <v>47</v>
      </c>
      <c r="G145" s="39"/>
      <c r="I145" s="33">
        <v>44777</v>
      </c>
      <c r="J145" s="18">
        <f t="shared" si="2"/>
        <v>8960810.81081081</v>
      </c>
      <c r="K145" s="18">
        <f t="shared" si="3"/>
        <v>985689.18918918911</v>
      </c>
      <c r="L145" s="14">
        <f>1368000+5390700+3187800</f>
        <v>9946500</v>
      </c>
    </row>
    <row r="146" spans="1:12" s="26" customFormat="1" x14ac:dyDescent="0.25">
      <c r="A146" s="13">
        <v>60</v>
      </c>
      <c r="B146" s="20" t="s">
        <v>533</v>
      </c>
      <c r="C146" s="21" t="s">
        <v>534</v>
      </c>
      <c r="D146" s="30"/>
      <c r="E146" s="31" t="s">
        <v>128</v>
      </c>
      <c r="F146" s="32" t="s">
        <v>47</v>
      </c>
      <c r="G146" s="39"/>
      <c r="I146" s="33">
        <v>44777</v>
      </c>
      <c r="J146" s="18">
        <f t="shared" si="2"/>
        <v>5449662.1621621614</v>
      </c>
      <c r="K146" s="18">
        <f t="shared" si="3"/>
        <v>599462.83783783775</v>
      </c>
      <c r="L146" s="14">
        <v>6049125</v>
      </c>
    </row>
    <row r="147" spans="1:12" s="26" customFormat="1" x14ac:dyDescent="0.25">
      <c r="A147" s="13">
        <v>61</v>
      </c>
      <c r="B147" s="20" t="s">
        <v>535</v>
      </c>
      <c r="C147" s="21" t="s">
        <v>536</v>
      </c>
      <c r="D147" s="30"/>
      <c r="E147" s="31" t="s">
        <v>58</v>
      </c>
      <c r="F147" s="32" t="s">
        <v>59</v>
      </c>
      <c r="G147" s="39"/>
      <c r="I147" s="33">
        <v>44777</v>
      </c>
      <c r="J147" s="18">
        <f t="shared" si="2"/>
        <v>10343392.792792792</v>
      </c>
      <c r="K147" s="18">
        <f t="shared" si="3"/>
        <v>1137773.2072072071</v>
      </c>
      <c r="L147" s="14">
        <f>4842891+6234025+404250</f>
        <v>11481166</v>
      </c>
    </row>
    <row r="148" spans="1:12" s="26" customFormat="1" x14ac:dyDescent="0.25">
      <c r="A148" s="13">
        <v>62</v>
      </c>
      <c r="B148" s="20" t="s">
        <v>537</v>
      </c>
      <c r="C148" s="21" t="s">
        <v>538</v>
      </c>
      <c r="D148" s="30"/>
      <c r="E148" s="31" t="s">
        <v>50</v>
      </c>
      <c r="F148" s="32" t="s">
        <v>51</v>
      </c>
      <c r="G148" s="39"/>
      <c r="I148" s="33">
        <v>44777</v>
      </c>
      <c r="J148" s="18">
        <f t="shared" si="2"/>
        <v>16820854.054054052</v>
      </c>
      <c r="K148" s="18">
        <f t="shared" si="3"/>
        <v>1850293.9459459458</v>
      </c>
      <c r="L148" s="14">
        <f>6648480+3878280+8144388</f>
        <v>18671148</v>
      </c>
    </row>
    <row r="149" spans="1:12" s="26" customFormat="1" x14ac:dyDescent="0.25">
      <c r="A149" s="13">
        <v>63</v>
      </c>
      <c r="B149" s="20" t="s">
        <v>539</v>
      </c>
      <c r="C149" s="21" t="s">
        <v>540</v>
      </c>
      <c r="D149" s="30"/>
      <c r="E149" s="31" t="s">
        <v>541</v>
      </c>
      <c r="F149" s="32" t="s">
        <v>75</v>
      </c>
      <c r="G149" s="39"/>
      <c r="I149" s="33">
        <v>44777</v>
      </c>
      <c r="J149" s="18">
        <f t="shared" si="2"/>
        <v>1454347.7477477477</v>
      </c>
      <c r="K149" s="18">
        <f t="shared" si="3"/>
        <v>159978.25225225225</v>
      </c>
      <c r="L149" s="14">
        <f>1218888+273338+122100</f>
        <v>1614326</v>
      </c>
    </row>
    <row r="150" spans="1:12" s="26" customFormat="1" x14ac:dyDescent="0.25">
      <c r="A150" s="13">
        <v>64</v>
      </c>
      <c r="B150" s="20" t="s">
        <v>542</v>
      </c>
      <c r="C150" s="21" t="s">
        <v>543</v>
      </c>
      <c r="D150" s="30"/>
      <c r="E150" s="31" t="s">
        <v>544</v>
      </c>
      <c r="F150" s="32" t="s">
        <v>545</v>
      </c>
      <c r="G150" s="39"/>
      <c r="I150" s="33">
        <v>44777</v>
      </c>
      <c r="J150" s="18">
        <f t="shared" si="2"/>
        <v>3112463.9639639636</v>
      </c>
      <c r="K150" s="18">
        <f t="shared" si="3"/>
        <v>342371.03603603598</v>
      </c>
      <c r="L150" s="14">
        <f>338580+2613980+502275</f>
        <v>3454835</v>
      </c>
    </row>
    <row r="151" spans="1:12" s="26" customFormat="1" x14ac:dyDescent="0.25">
      <c r="A151" s="13">
        <v>65</v>
      </c>
      <c r="B151" s="20" t="s">
        <v>546</v>
      </c>
      <c r="C151" s="21" t="s">
        <v>547</v>
      </c>
      <c r="D151" s="30"/>
      <c r="E151" s="31" t="s">
        <v>53</v>
      </c>
      <c r="F151" s="32" t="s">
        <v>54</v>
      </c>
      <c r="G151" s="39"/>
      <c r="I151" s="33">
        <v>44776</v>
      </c>
      <c r="J151" s="18">
        <f t="shared" si="2"/>
        <v>29928944.14414414</v>
      </c>
      <c r="K151" s="18">
        <f t="shared" si="3"/>
        <v>3292183.8558558556</v>
      </c>
      <c r="L151" s="14">
        <f>4175820+4914000+24131308</f>
        <v>33221128</v>
      </c>
    </row>
    <row r="152" spans="1:12" s="26" customFormat="1" x14ac:dyDescent="0.25">
      <c r="A152" s="13">
        <v>66</v>
      </c>
      <c r="B152" s="20" t="s">
        <v>548</v>
      </c>
      <c r="C152" s="21" t="s">
        <v>549</v>
      </c>
      <c r="D152" s="30"/>
      <c r="E152" s="31" t="s">
        <v>53</v>
      </c>
      <c r="F152" s="32" t="s">
        <v>98</v>
      </c>
      <c r="G152" s="39"/>
      <c r="I152" s="33">
        <v>44777</v>
      </c>
      <c r="J152" s="18">
        <f t="shared" si="2"/>
        <v>8415740.5405405406</v>
      </c>
      <c r="K152" s="18">
        <f t="shared" si="3"/>
        <v>925731.45945945953</v>
      </c>
      <c r="L152" s="14">
        <f>6209352+903000+2229120</f>
        <v>9341472</v>
      </c>
    </row>
    <row r="153" spans="1:12" s="26" customFormat="1" x14ac:dyDescent="0.25">
      <c r="A153" s="13">
        <v>67</v>
      </c>
      <c r="B153" s="20" t="s">
        <v>550</v>
      </c>
      <c r="C153" s="21" t="s">
        <v>551</v>
      </c>
      <c r="D153" s="30"/>
      <c r="E153" s="31" t="s">
        <v>126</v>
      </c>
      <c r="F153" s="32" t="s">
        <v>124</v>
      </c>
      <c r="G153" s="39"/>
      <c r="I153" s="33">
        <v>44777</v>
      </c>
      <c r="J153" s="18">
        <f t="shared" si="2"/>
        <v>7341233.333333333</v>
      </c>
      <c r="K153" s="18">
        <f t="shared" si="3"/>
        <v>807535.66666666663</v>
      </c>
      <c r="L153" s="14">
        <f>6083154+1553740+511875</f>
        <v>8148769</v>
      </c>
    </row>
    <row r="154" spans="1:12" s="26" customFormat="1" x14ac:dyDescent="0.25">
      <c r="A154" s="13">
        <v>68</v>
      </c>
      <c r="B154" s="20" t="s">
        <v>552</v>
      </c>
      <c r="C154" s="21" t="s">
        <v>553</v>
      </c>
      <c r="D154" s="30"/>
      <c r="E154" s="31" t="s">
        <v>53</v>
      </c>
      <c r="F154" s="32" t="s">
        <v>30</v>
      </c>
      <c r="G154" s="39"/>
      <c r="I154" s="33">
        <v>44777</v>
      </c>
      <c r="J154" s="18">
        <f t="shared" si="2"/>
        <v>18294108.108108107</v>
      </c>
      <c r="K154" s="18">
        <f t="shared" si="3"/>
        <v>2012351.8918918918</v>
      </c>
      <c r="L154" s="14">
        <f>4288680+4801680+11216100</f>
        <v>20306460</v>
      </c>
    </row>
    <row r="155" spans="1:12" s="26" customFormat="1" x14ac:dyDescent="0.25">
      <c r="A155" s="13">
        <v>69</v>
      </c>
      <c r="B155" s="20" t="s">
        <v>554</v>
      </c>
      <c r="C155" s="21" t="s">
        <v>555</v>
      </c>
      <c r="D155" s="30"/>
      <c r="E155" s="31" t="s">
        <v>52</v>
      </c>
      <c r="F155" s="32" t="s">
        <v>35</v>
      </c>
      <c r="G155" s="39"/>
      <c r="I155" s="33">
        <v>44777</v>
      </c>
      <c r="J155" s="18">
        <f t="shared" si="2"/>
        <v>7906767.5675675664</v>
      </c>
      <c r="K155" s="18">
        <f t="shared" si="3"/>
        <v>869744.43243243231</v>
      </c>
      <c r="L155" s="14">
        <f>4875552+2538720+1362240</f>
        <v>8776512</v>
      </c>
    </row>
    <row r="156" spans="1:12" s="26" customFormat="1" x14ac:dyDescent="0.25">
      <c r="A156" s="13">
        <v>70</v>
      </c>
      <c r="B156" s="20" t="s">
        <v>556</v>
      </c>
      <c r="C156" s="21" t="s">
        <v>557</v>
      </c>
      <c r="D156" s="30"/>
      <c r="E156" s="31" t="s">
        <v>85</v>
      </c>
      <c r="F156" s="32" t="s">
        <v>84</v>
      </c>
      <c r="G156" s="39"/>
      <c r="I156" s="33">
        <v>44777</v>
      </c>
      <c r="J156" s="18">
        <f t="shared" si="2"/>
        <v>24892389.189189188</v>
      </c>
      <c r="K156" s="18">
        <f t="shared" si="3"/>
        <v>2738162.8108108109</v>
      </c>
      <c r="L156" s="14">
        <f>5798952+7628250+14203350</f>
        <v>27630552</v>
      </c>
    </row>
    <row r="157" spans="1:12" s="26" customFormat="1" x14ac:dyDescent="0.25">
      <c r="A157" s="13">
        <v>71</v>
      </c>
      <c r="B157" s="20" t="s">
        <v>558</v>
      </c>
      <c r="C157" s="21" t="s">
        <v>559</v>
      </c>
      <c r="D157" s="30"/>
      <c r="E157" s="31" t="s">
        <v>139</v>
      </c>
      <c r="F157" s="32" t="s">
        <v>47</v>
      </c>
      <c r="G157" s="39"/>
      <c r="I157" s="33">
        <v>44777</v>
      </c>
      <c r="J157" s="18">
        <f t="shared" si="2"/>
        <v>8442162.1621621605</v>
      </c>
      <c r="K157" s="18">
        <f t="shared" si="3"/>
        <v>928637.83783783764</v>
      </c>
      <c r="L157" s="14">
        <v>9370800</v>
      </c>
    </row>
    <row r="158" spans="1:12" s="26" customFormat="1" x14ac:dyDescent="0.25">
      <c r="A158" s="13">
        <v>72</v>
      </c>
      <c r="B158" s="20" t="s">
        <v>560</v>
      </c>
      <c r="C158" s="21" t="s">
        <v>561</v>
      </c>
      <c r="D158" s="30"/>
      <c r="E158" s="7" t="s">
        <v>46</v>
      </c>
      <c r="F158" s="7" t="s">
        <v>47</v>
      </c>
      <c r="G158" s="39"/>
      <c r="I158" s="25">
        <v>44778</v>
      </c>
      <c r="J158" s="18">
        <f t="shared" si="2"/>
        <v>43214391.891891889</v>
      </c>
      <c r="K158" s="18">
        <f t="shared" si="3"/>
        <v>4753583.1081081079</v>
      </c>
      <c r="L158" s="14">
        <f>17717650+13702500+16547825</f>
        <v>47967975</v>
      </c>
    </row>
    <row r="159" spans="1:12" s="26" customFormat="1" x14ac:dyDescent="0.25">
      <c r="A159" s="13">
        <v>73</v>
      </c>
      <c r="B159" s="20" t="s">
        <v>562</v>
      </c>
      <c r="C159" s="21" t="s">
        <v>563</v>
      </c>
      <c r="D159" s="30"/>
      <c r="E159" s="31" t="s">
        <v>57</v>
      </c>
      <c r="F159" s="32" t="s">
        <v>27</v>
      </c>
      <c r="G159" s="39"/>
      <c r="I159" s="33">
        <v>44778</v>
      </c>
      <c r="J159" s="18">
        <f t="shared" si="2"/>
        <v>37095202.702702701</v>
      </c>
      <c r="K159" s="18">
        <f t="shared" si="3"/>
        <v>4080472.297297297</v>
      </c>
      <c r="L159" s="14">
        <f>4125375+4914000+32136300</f>
        <v>41175675</v>
      </c>
    </row>
    <row r="160" spans="1:12" s="26" customFormat="1" x14ac:dyDescent="0.25">
      <c r="A160" s="13">
        <v>74</v>
      </c>
      <c r="B160" s="20" t="s">
        <v>564</v>
      </c>
      <c r="C160" s="21" t="s">
        <v>565</v>
      </c>
      <c r="D160" s="30"/>
      <c r="E160" s="31" t="s">
        <v>566</v>
      </c>
      <c r="F160" s="32" t="s">
        <v>82</v>
      </c>
      <c r="G160" s="39"/>
      <c r="I160" s="33">
        <v>44778</v>
      </c>
      <c r="J160" s="18">
        <f t="shared" si="2"/>
        <v>5345124.3243243238</v>
      </c>
      <c r="K160" s="18">
        <f t="shared" si="3"/>
        <v>587963.67567567562</v>
      </c>
      <c r="L160" s="14">
        <f>3250368+2682720</f>
        <v>5933088</v>
      </c>
    </row>
    <row r="161" spans="1:12" s="26" customFormat="1" x14ac:dyDescent="0.25">
      <c r="A161" s="13">
        <v>75</v>
      </c>
      <c r="B161" s="20" t="s">
        <v>567</v>
      </c>
      <c r="C161" s="21" t="s">
        <v>568</v>
      </c>
      <c r="D161" s="30"/>
      <c r="E161" s="31" t="s">
        <v>569</v>
      </c>
      <c r="F161" s="32" t="s">
        <v>570</v>
      </c>
      <c r="G161" s="39"/>
      <c r="I161" s="33">
        <v>44778</v>
      </c>
      <c r="J161" s="18">
        <f t="shared" si="2"/>
        <v>11466313.513513513</v>
      </c>
      <c r="K161" s="18">
        <f t="shared" si="3"/>
        <v>1261294.4864864864</v>
      </c>
      <c r="L161" s="14">
        <f>3342708+9384900</f>
        <v>12727608</v>
      </c>
    </row>
    <row r="162" spans="1:12" s="26" customFormat="1" x14ac:dyDescent="0.25">
      <c r="A162" s="13">
        <v>76</v>
      </c>
      <c r="B162" s="20" t="s">
        <v>571</v>
      </c>
      <c r="C162" s="21" t="s">
        <v>572</v>
      </c>
      <c r="D162" s="30"/>
      <c r="E162" s="31" t="s">
        <v>573</v>
      </c>
      <c r="F162" s="32" t="s">
        <v>75</v>
      </c>
      <c r="G162" s="39"/>
      <c r="I162" s="33">
        <v>44778</v>
      </c>
      <c r="J162" s="18">
        <f t="shared" si="2"/>
        <v>1009824.3243243243</v>
      </c>
      <c r="K162" s="18">
        <f t="shared" si="3"/>
        <v>111080.67567567567</v>
      </c>
      <c r="L162" s="14">
        <f>643815+477090</f>
        <v>1120905</v>
      </c>
    </row>
    <row r="163" spans="1:12" s="26" customFormat="1" x14ac:dyDescent="0.25">
      <c r="A163" s="13">
        <v>77</v>
      </c>
      <c r="B163" s="20" t="s">
        <v>574</v>
      </c>
      <c r="C163" s="21" t="s">
        <v>575</v>
      </c>
      <c r="D163" s="30"/>
      <c r="E163" s="31" t="s">
        <v>144</v>
      </c>
      <c r="F163" s="32" t="s">
        <v>54</v>
      </c>
      <c r="G163" s="39"/>
      <c r="I163" s="33">
        <v>44778</v>
      </c>
      <c r="J163" s="18">
        <f t="shared" si="2"/>
        <v>10500972.972972972</v>
      </c>
      <c r="K163" s="18">
        <f t="shared" si="3"/>
        <v>1155107.027027027</v>
      </c>
      <c r="L163" s="14">
        <f>4801680+5216400+1638000</f>
        <v>11656080</v>
      </c>
    </row>
    <row r="164" spans="1:12" s="26" customFormat="1" x14ac:dyDescent="0.25">
      <c r="A164" s="13">
        <v>78</v>
      </c>
      <c r="B164" s="20" t="s">
        <v>576</v>
      </c>
      <c r="C164" s="21" t="s">
        <v>577</v>
      </c>
      <c r="D164" s="30"/>
      <c r="E164" s="31" t="s">
        <v>73</v>
      </c>
      <c r="F164" s="32" t="s">
        <v>74</v>
      </c>
      <c r="G164" s="39"/>
      <c r="I164" s="33">
        <v>44778</v>
      </c>
      <c r="J164" s="18">
        <f t="shared" si="2"/>
        <v>4166459.4594594589</v>
      </c>
      <c r="K164" s="18">
        <f t="shared" si="3"/>
        <v>458310.54054054047</v>
      </c>
      <c r="L164" s="14">
        <f>1523610+2327160+774000</f>
        <v>4624770</v>
      </c>
    </row>
    <row r="165" spans="1:12" s="26" customFormat="1" x14ac:dyDescent="0.25">
      <c r="A165" s="13">
        <v>79</v>
      </c>
      <c r="B165" s="20" t="s">
        <v>578</v>
      </c>
      <c r="C165" s="21" t="s">
        <v>579</v>
      </c>
      <c r="D165" s="30"/>
      <c r="E165" s="31" t="s">
        <v>71</v>
      </c>
      <c r="F165" s="32" t="s">
        <v>72</v>
      </c>
      <c r="G165" s="39"/>
      <c r="I165" s="33">
        <v>44778</v>
      </c>
      <c r="J165" s="18">
        <f t="shared" si="2"/>
        <v>7828383.7837837832</v>
      </c>
      <c r="K165" s="18">
        <f t="shared" si="3"/>
        <v>861122.21621621621</v>
      </c>
      <c r="L165" s="14">
        <f>385776+7497330+806400</f>
        <v>8689506</v>
      </c>
    </row>
    <row r="166" spans="1:12" s="26" customFormat="1" x14ac:dyDescent="0.25">
      <c r="A166" s="13">
        <v>80</v>
      </c>
      <c r="B166" s="20" t="s">
        <v>580</v>
      </c>
      <c r="C166" s="21" t="s">
        <v>581</v>
      </c>
      <c r="D166" s="30"/>
      <c r="E166" s="31" t="s">
        <v>582</v>
      </c>
      <c r="F166" s="32" t="s">
        <v>30</v>
      </c>
      <c r="G166" s="39"/>
      <c r="I166" s="33">
        <v>44778</v>
      </c>
      <c r="J166" s="18">
        <f t="shared" si="2"/>
        <v>522162.16216216213</v>
      </c>
      <c r="K166" s="18">
        <f t="shared" si="3"/>
        <v>57437.837837837833</v>
      </c>
      <c r="L166" s="14">
        <v>579600</v>
      </c>
    </row>
    <row r="167" spans="1:12" s="26" customFormat="1" x14ac:dyDescent="0.25">
      <c r="A167" s="13">
        <v>81</v>
      </c>
      <c r="B167" s="20" t="s">
        <v>583</v>
      </c>
      <c r="C167" s="21" t="s">
        <v>584</v>
      </c>
      <c r="D167" s="30"/>
      <c r="E167" s="31" t="s">
        <v>50</v>
      </c>
      <c r="F167" s="32" t="s">
        <v>51</v>
      </c>
      <c r="G167" s="39"/>
      <c r="I167" s="33">
        <v>44778</v>
      </c>
      <c r="J167" s="18">
        <f t="shared" si="2"/>
        <v>6559135.1351351347</v>
      </c>
      <c r="K167" s="18">
        <f t="shared" si="3"/>
        <v>721504.86486486485</v>
      </c>
      <c r="L167" s="14">
        <f>1332000+3518640+2430000</f>
        <v>7280640</v>
      </c>
    </row>
    <row r="168" spans="1:12" s="26" customFormat="1" x14ac:dyDescent="0.25">
      <c r="A168" s="13">
        <v>82</v>
      </c>
      <c r="B168" s="20" t="s">
        <v>585</v>
      </c>
      <c r="C168" s="21" t="s">
        <v>586</v>
      </c>
      <c r="D168" s="30"/>
      <c r="E168" s="31" t="s">
        <v>65</v>
      </c>
      <c r="F168" s="32" t="s">
        <v>66</v>
      </c>
      <c r="G168" s="39"/>
      <c r="I168" s="33">
        <v>44778</v>
      </c>
      <c r="J168" s="18">
        <f t="shared" si="2"/>
        <v>24980090.090090089</v>
      </c>
      <c r="K168" s="18">
        <f t="shared" si="3"/>
        <v>2747809.9099099096</v>
      </c>
      <c r="L168" s="14">
        <f>12305500+7087500+8334900</f>
        <v>27727900</v>
      </c>
    </row>
    <row r="169" spans="1:12" s="26" customFormat="1" x14ac:dyDescent="0.25">
      <c r="A169" s="13">
        <v>83</v>
      </c>
      <c r="B169" s="20" t="s">
        <v>587</v>
      </c>
      <c r="C169" s="21" t="s">
        <v>588</v>
      </c>
      <c r="D169" s="30"/>
      <c r="E169" s="7" t="s">
        <v>110</v>
      </c>
      <c r="F169" s="7" t="s">
        <v>24</v>
      </c>
      <c r="G169" s="39"/>
      <c r="I169" s="25">
        <v>44779</v>
      </c>
      <c r="J169" s="18">
        <f t="shared" si="2"/>
        <v>2276756.7567567565</v>
      </c>
      <c r="K169" s="18">
        <f t="shared" si="3"/>
        <v>250443.24324324323</v>
      </c>
      <c r="L169" s="14">
        <v>2527200</v>
      </c>
    </row>
    <row r="170" spans="1:12" s="26" customFormat="1" x14ac:dyDescent="0.25">
      <c r="A170" s="13">
        <v>84</v>
      </c>
      <c r="B170" s="20" t="s">
        <v>589</v>
      </c>
      <c r="C170" s="21" t="s">
        <v>590</v>
      </c>
      <c r="D170" s="30"/>
      <c r="E170" s="7" t="s">
        <v>53</v>
      </c>
      <c r="F170" s="7" t="s">
        <v>68</v>
      </c>
      <c r="G170" s="39"/>
      <c r="I170" s="25">
        <v>44779</v>
      </c>
      <c r="J170" s="18">
        <f t="shared" si="2"/>
        <v>2828918.9189189188</v>
      </c>
      <c r="K170" s="18">
        <f t="shared" si="3"/>
        <v>311181.08108108107</v>
      </c>
      <c r="L170" s="14">
        <v>3140100</v>
      </c>
    </row>
    <row r="171" spans="1:12" s="26" customFormat="1" x14ac:dyDescent="0.25">
      <c r="A171" s="13">
        <v>85</v>
      </c>
      <c r="B171" s="20" t="s">
        <v>591</v>
      </c>
      <c r="C171" s="21" t="s">
        <v>592</v>
      </c>
      <c r="D171" s="30"/>
      <c r="E171" s="31" t="s">
        <v>55</v>
      </c>
      <c r="F171" s="32" t="s">
        <v>56</v>
      </c>
      <c r="G171" s="39"/>
      <c r="I171" s="33">
        <v>44779</v>
      </c>
      <c r="J171" s="18">
        <f t="shared" si="2"/>
        <v>681081.08108108107</v>
      </c>
      <c r="K171" s="18">
        <f t="shared" si="3"/>
        <v>74918.91891891892</v>
      </c>
      <c r="L171" s="14">
        <v>756000</v>
      </c>
    </row>
    <row r="172" spans="1:12" s="26" customFormat="1" x14ac:dyDescent="0.25">
      <c r="A172" s="13">
        <v>86</v>
      </c>
      <c r="B172" s="20" t="s">
        <v>593</v>
      </c>
      <c r="C172" s="21" t="s">
        <v>594</v>
      </c>
      <c r="D172" s="30"/>
      <c r="E172" s="31" t="s">
        <v>93</v>
      </c>
      <c r="F172" s="32" t="s">
        <v>74</v>
      </c>
      <c r="G172" s="39"/>
      <c r="I172" s="33">
        <v>44779</v>
      </c>
      <c r="J172" s="18">
        <f t="shared" si="2"/>
        <v>3931783.7837837832</v>
      </c>
      <c r="K172" s="18">
        <f t="shared" si="3"/>
        <v>432496.21621621615</v>
      </c>
      <c r="L172" s="14">
        <f>2786400+773820+804060</f>
        <v>4364280</v>
      </c>
    </row>
    <row r="173" spans="1:12" s="26" customFormat="1" x14ac:dyDescent="0.25">
      <c r="A173" s="13">
        <v>87</v>
      </c>
      <c r="B173" s="20" t="s">
        <v>595</v>
      </c>
      <c r="C173" s="21" t="s">
        <v>596</v>
      </c>
      <c r="D173" s="30"/>
      <c r="E173" s="31" t="s">
        <v>597</v>
      </c>
      <c r="F173" s="32" t="s">
        <v>75</v>
      </c>
      <c r="G173" s="39"/>
      <c r="I173" s="33">
        <v>44779</v>
      </c>
      <c r="J173" s="18">
        <f t="shared" si="2"/>
        <v>356756.75675675675</v>
      </c>
      <c r="K173" s="18">
        <f t="shared" si="3"/>
        <v>39243.24324324324</v>
      </c>
      <c r="L173" s="14">
        <v>396000</v>
      </c>
    </row>
    <row r="174" spans="1:12" s="26" customFormat="1" x14ac:dyDescent="0.25">
      <c r="A174" s="36">
        <v>88</v>
      </c>
      <c r="B174" s="20" t="s">
        <v>598</v>
      </c>
      <c r="C174" s="21" t="s">
        <v>599</v>
      </c>
      <c r="D174" s="30"/>
      <c r="E174" s="31" t="s">
        <v>69</v>
      </c>
      <c r="F174" s="32" t="s">
        <v>70</v>
      </c>
      <c r="G174" s="31"/>
      <c r="I174" s="33">
        <v>44781</v>
      </c>
      <c r="J174" s="18">
        <f t="shared" si="2"/>
        <v>1364108.1081081079</v>
      </c>
      <c r="K174" s="18">
        <f t="shared" si="3"/>
        <v>150051.89189189186</v>
      </c>
      <c r="L174" s="14">
        <f>280800+664200+569160</f>
        <v>1514160</v>
      </c>
    </row>
    <row r="175" spans="1:12" s="26" customFormat="1" x14ac:dyDescent="0.25">
      <c r="A175" s="13">
        <v>89</v>
      </c>
      <c r="B175" s="20" t="s">
        <v>600</v>
      </c>
      <c r="C175" s="21" t="s">
        <v>601</v>
      </c>
      <c r="D175" s="30"/>
      <c r="E175" s="31" t="s">
        <v>60</v>
      </c>
      <c r="F175" s="32" t="s">
        <v>61</v>
      </c>
      <c r="G175" s="39"/>
      <c r="I175" s="33">
        <v>44781</v>
      </c>
      <c r="J175" s="18">
        <f t="shared" si="2"/>
        <v>4378738.738738738</v>
      </c>
      <c r="K175" s="18">
        <f t="shared" si="3"/>
        <v>481661.26126126118</v>
      </c>
      <c r="L175" s="14">
        <f>1450000+2200800+1209600</f>
        <v>4860400</v>
      </c>
    </row>
    <row r="176" spans="1:12" s="26" customFormat="1" x14ac:dyDescent="0.25">
      <c r="A176" s="13">
        <v>90</v>
      </c>
      <c r="B176" s="20" t="s">
        <v>602</v>
      </c>
      <c r="C176" s="21" t="s">
        <v>603</v>
      </c>
      <c r="D176" s="30"/>
      <c r="E176" s="31" t="s">
        <v>101</v>
      </c>
      <c r="F176" s="32" t="s">
        <v>61</v>
      </c>
      <c r="G176" s="39"/>
      <c r="I176" s="33">
        <v>44781</v>
      </c>
      <c r="J176" s="18">
        <f t="shared" si="2"/>
        <v>6830270.2702702694</v>
      </c>
      <c r="K176" s="18">
        <f t="shared" si="3"/>
        <v>751329.72972972959</v>
      </c>
      <c r="L176" s="14">
        <f>5054400+2527200</f>
        <v>7581600</v>
      </c>
    </row>
    <row r="177" spans="1:12" s="26" customFormat="1" x14ac:dyDescent="0.25">
      <c r="A177" s="13">
        <v>91</v>
      </c>
      <c r="B177" s="20" t="s">
        <v>604</v>
      </c>
      <c r="C177" s="21" t="s">
        <v>605</v>
      </c>
      <c r="D177" s="30"/>
      <c r="E177" s="31" t="s">
        <v>108</v>
      </c>
      <c r="F177" s="32" t="s">
        <v>61</v>
      </c>
      <c r="G177" s="39"/>
      <c r="I177" s="33">
        <v>44781</v>
      </c>
      <c r="J177" s="18">
        <f t="shared" si="2"/>
        <v>762810.81081081077</v>
      </c>
      <c r="K177" s="18">
        <f t="shared" si="3"/>
        <v>83909.189189189186</v>
      </c>
      <c r="L177" s="14">
        <v>846720</v>
      </c>
    </row>
    <row r="178" spans="1:12" s="26" customFormat="1" x14ac:dyDescent="0.25">
      <c r="A178" s="13">
        <v>92</v>
      </c>
      <c r="B178" s="20" t="s">
        <v>606</v>
      </c>
      <c r="C178" s="21" t="s">
        <v>607</v>
      </c>
      <c r="D178" s="30"/>
      <c r="E178" s="31" t="s">
        <v>608</v>
      </c>
      <c r="F178" s="32" t="s">
        <v>68</v>
      </c>
      <c r="G178" s="39"/>
      <c r="I178" s="33">
        <v>44781</v>
      </c>
      <c r="J178" s="18">
        <f t="shared" si="2"/>
        <v>1475675.6756756755</v>
      </c>
      <c r="K178" s="18">
        <f t="shared" si="3"/>
        <v>162324.32432432432</v>
      </c>
      <c r="L178" s="14">
        <v>1638000</v>
      </c>
    </row>
    <row r="179" spans="1:12" s="26" customFormat="1" x14ac:dyDescent="0.25">
      <c r="A179" s="13">
        <v>93</v>
      </c>
      <c r="B179" s="20" t="s">
        <v>609</v>
      </c>
      <c r="C179" s="21" t="s">
        <v>610</v>
      </c>
      <c r="D179" s="30"/>
      <c r="E179" s="31" t="s">
        <v>127</v>
      </c>
      <c r="F179" s="32" t="s">
        <v>77</v>
      </c>
      <c r="G179" s="39"/>
      <c r="I179" s="33">
        <v>44781</v>
      </c>
      <c r="J179" s="18">
        <f t="shared" si="2"/>
        <v>7013675.6756756753</v>
      </c>
      <c r="K179" s="18">
        <f t="shared" si="3"/>
        <v>771504.32432432426</v>
      </c>
      <c r="L179" s="14">
        <f>1263600+3084480+3437100</f>
        <v>7785180</v>
      </c>
    </row>
    <row r="180" spans="1:12" s="26" customFormat="1" x14ac:dyDescent="0.25">
      <c r="A180" s="13">
        <v>94</v>
      </c>
      <c r="B180" s="20" t="s">
        <v>611</v>
      </c>
      <c r="C180" s="21" t="s">
        <v>612</v>
      </c>
      <c r="D180" s="30"/>
      <c r="E180" s="31" t="s">
        <v>105</v>
      </c>
      <c r="F180" s="32" t="s">
        <v>47</v>
      </c>
      <c r="G180" s="39"/>
      <c r="I180" s="33">
        <v>44782</v>
      </c>
      <c r="J180" s="18">
        <f t="shared" si="2"/>
        <v>31157297.297297295</v>
      </c>
      <c r="K180" s="18">
        <f t="shared" si="3"/>
        <v>3427302.7027027025</v>
      </c>
      <c r="L180" s="14">
        <f>16930200+12312000+5342400</f>
        <v>34584600</v>
      </c>
    </row>
    <row r="181" spans="1:12" s="26" customFormat="1" x14ac:dyDescent="0.25">
      <c r="A181" s="13">
        <v>95</v>
      </c>
      <c r="B181" s="20" t="s">
        <v>613</v>
      </c>
      <c r="C181" s="37" t="s">
        <v>614</v>
      </c>
      <c r="D181" s="13"/>
      <c r="E181" s="38" t="s">
        <v>83</v>
      </c>
      <c r="F181" s="15" t="s">
        <v>84</v>
      </c>
      <c r="G181" s="39"/>
      <c r="I181" s="17">
        <v>44782</v>
      </c>
      <c r="J181" s="18">
        <f t="shared" si="2"/>
        <v>6290540.5405405397</v>
      </c>
      <c r="K181" s="18">
        <f t="shared" si="3"/>
        <v>691959.45945945941</v>
      </c>
      <c r="L181" s="14">
        <f>1281000+787500+4914000</f>
        <v>6982500</v>
      </c>
    </row>
    <row r="182" spans="1:12" s="26" customFormat="1" x14ac:dyDescent="0.25">
      <c r="A182" s="13">
        <v>96</v>
      </c>
      <c r="B182" s="20" t="s">
        <v>615</v>
      </c>
      <c r="C182" s="21" t="s">
        <v>616</v>
      </c>
      <c r="D182" s="30"/>
      <c r="E182" s="7" t="s">
        <v>91</v>
      </c>
      <c r="F182" s="7" t="s">
        <v>75</v>
      </c>
      <c r="G182" s="39"/>
      <c r="I182" s="33">
        <v>44782</v>
      </c>
      <c r="J182" s="18">
        <f t="shared" si="2"/>
        <v>2281621.6216216213</v>
      </c>
      <c r="K182" s="18">
        <f t="shared" si="3"/>
        <v>250978.37837837834</v>
      </c>
      <c r="L182" s="14">
        <f>822150+1710450</f>
        <v>2532600</v>
      </c>
    </row>
    <row r="183" spans="1:12" s="26" customFormat="1" x14ac:dyDescent="0.25">
      <c r="A183" s="13">
        <v>97</v>
      </c>
      <c r="B183" s="20" t="s">
        <v>617</v>
      </c>
      <c r="C183" s="21" t="s">
        <v>618</v>
      </c>
      <c r="D183" s="30"/>
      <c r="E183" s="31" t="s">
        <v>619</v>
      </c>
      <c r="F183" s="32" t="s">
        <v>74</v>
      </c>
      <c r="G183" s="39"/>
      <c r="I183" s="33">
        <v>44782</v>
      </c>
      <c r="J183" s="18">
        <f t="shared" si="2"/>
        <v>427927.92792792787</v>
      </c>
      <c r="K183" s="18">
        <f t="shared" si="3"/>
        <v>47072.072072072064</v>
      </c>
      <c r="L183" s="14">
        <v>475000</v>
      </c>
    </row>
    <row r="184" spans="1:12" s="26" customFormat="1" x14ac:dyDescent="0.25">
      <c r="A184" s="13">
        <v>98</v>
      </c>
      <c r="B184" s="20" t="s">
        <v>620</v>
      </c>
      <c r="C184" s="21" t="s">
        <v>621</v>
      </c>
      <c r="D184" s="30"/>
      <c r="E184" s="31" t="s">
        <v>157</v>
      </c>
      <c r="F184" s="32" t="s">
        <v>82</v>
      </c>
      <c r="G184" s="39"/>
      <c r="I184" s="33">
        <v>44782</v>
      </c>
      <c r="J184" s="18">
        <f t="shared" si="2"/>
        <v>12429729.729729729</v>
      </c>
      <c r="K184" s="18">
        <f t="shared" si="3"/>
        <v>1367270.2702702701</v>
      </c>
      <c r="L184" s="14">
        <f>3969000+4914000+4914000</f>
        <v>13797000</v>
      </c>
    </row>
    <row r="185" spans="1:12" s="26" customFormat="1" x14ac:dyDescent="0.25">
      <c r="A185" s="13">
        <v>99</v>
      </c>
      <c r="B185" s="20" t="s">
        <v>622</v>
      </c>
      <c r="C185" s="21" t="s">
        <v>623</v>
      </c>
      <c r="D185" s="30"/>
      <c r="E185" s="31" t="s">
        <v>48</v>
      </c>
      <c r="F185" s="32" t="s">
        <v>49</v>
      </c>
      <c r="G185" s="39"/>
      <c r="I185" s="33">
        <v>44782</v>
      </c>
      <c r="J185" s="18">
        <f t="shared" si="2"/>
        <v>4640810.81081081</v>
      </c>
      <c r="K185" s="18">
        <f t="shared" si="3"/>
        <v>510489.18918918911</v>
      </c>
      <c r="L185" s="14">
        <f>3420900+1730400</f>
        <v>5151300</v>
      </c>
    </row>
    <row r="186" spans="1:12" s="26" customFormat="1" x14ac:dyDescent="0.25">
      <c r="A186" s="13">
        <v>100</v>
      </c>
      <c r="B186" s="20" t="s">
        <v>624</v>
      </c>
      <c r="C186" s="21" t="s">
        <v>625</v>
      </c>
      <c r="D186" s="30"/>
      <c r="E186" s="31" t="s">
        <v>81</v>
      </c>
      <c r="F186" s="32" t="s">
        <v>82</v>
      </c>
      <c r="G186" s="39"/>
      <c r="I186" s="33">
        <v>44782</v>
      </c>
      <c r="J186" s="18">
        <f t="shared" si="2"/>
        <v>22305891.891891889</v>
      </c>
      <c r="K186" s="18">
        <f t="shared" si="3"/>
        <v>2453648.1081081079</v>
      </c>
      <c r="L186" s="14">
        <f>5365440+769500+18624600</f>
        <v>24759540</v>
      </c>
    </row>
    <row r="187" spans="1:12" s="26" customFormat="1" x14ac:dyDescent="0.25">
      <c r="A187" s="13">
        <v>101</v>
      </c>
      <c r="B187" s="20" t="s">
        <v>626</v>
      </c>
      <c r="C187" s="21" t="s">
        <v>627</v>
      </c>
      <c r="D187" s="30"/>
      <c r="E187" s="31" t="s">
        <v>79</v>
      </c>
      <c r="F187" s="32" t="s">
        <v>80</v>
      </c>
      <c r="G187" s="39"/>
      <c r="I187" s="33">
        <v>44782</v>
      </c>
      <c r="J187" s="18">
        <f t="shared" si="2"/>
        <v>4311405.405405405</v>
      </c>
      <c r="K187" s="18">
        <f t="shared" si="3"/>
        <v>474254.59459459456</v>
      </c>
      <c r="L187" s="14">
        <f>2608200+1387260+790200</f>
        <v>4785660</v>
      </c>
    </row>
    <row r="188" spans="1:12" s="26" customFormat="1" x14ac:dyDescent="0.25">
      <c r="A188" s="13">
        <v>102</v>
      </c>
      <c r="B188" s="20" t="s">
        <v>628</v>
      </c>
      <c r="C188" s="21" t="s">
        <v>629</v>
      </c>
      <c r="D188" s="30"/>
      <c r="E188" s="31" t="s">
        <v>137</v>
      </c>
      <c r="F188" s="32" t="s">
        <v>78</v>
      </c>
      <c r="G188" s="39"/>
      <c r="I188" s="33">
        <v>44782</v>
      </c>
      <c r="J188" s="18">
        <f t="shared" si="2"/>
        <v>7191216.2162162159</v>
      </c>
      <c r="K188" s="18">
        <f t="shared" si="3"/>
        <v>791033.78378378379</v>
      </c>
      <c r="L188" s="14">
        <f>4079250+735000+3168000</f>
        <v>7982250</v>
      </c>
    </row>
    <row r="189" spans="1:12" s="26" customFormat="1" x14ac:dyDescent="0.25">
      <c r="A189" s="13">
        <v>103</v>
      </c>
      <c r="B189" s="20" t="s">
        <v>630</v>
      </c>
      <c r="C189" s="21" t="s">
        <v>631</v>
      </c>
      <c r="D189" s="30"/>
      <c r="E189" s="31" t="s">
        <v>86</v>
      </c>
      <c r="F189" s="32" t="s">
        <v>87</v>
      </c>
      <c r="G189" s="31"/>
      <c r="I189" s="33">
        <v>44782</v>
      </c>
      <c r="J189" s="18">
        <f t="shared" si="2"/>
        <v>13388237.837837836</v>
      </c>
      <c r="K189" s="18">
        <f t="shared" si="3"/>
        <v>1472706.1621621619</v>
      </c>
      <c r="L189" s="14">
        <f>681120+4829760+9350064</f>
        <v>14860944</v>
      </c>
    </row>
    <row r="190" spans="1:12" s="26" customFormat="1" x14ac:dyDescent="0.25">
      <c r="A190" s="13">
        <v>104</v>
      </c>
      <c r="B190" s="20" t="s">
        <v>632</v>
      </c>
      <c r="C190" s="21" t="s">
        <v>633</v>
      </c>
      <c r="D190" s="30"/>
      <c r="E190" s="31" t="s">
        <v>76</v>
      </c>
      <c r="F190" s="32" t="s">
        <v>77</v>
      </c>
      <c r="G190" s="31"/>
      <c r="I190" s="33">
        <v>44782</v>
      </c>
      <c r="J190" s="18">
        <f t="shared" si="2"/>
        <v>8330594.5945945941</v>
      </c>
      <c r="K190" s="18">
        <f t="shared" si="3"/>
        <v>916365.40540540533</v>
      </c>
      <c r="L190" s="14">
        <f>712800+4685040+3849120</f>
        <v>9246960</v>
      </c>
    </row>
    <row r="191" spans="1:12" s="26" customFormat="1" x14ac:dyDescent="0.25">
      <c r="A191" s="13">
        <v>105</v>
      </c>
      <c r="B191" s="20" t="s">
        <v>634</v>
      </c>
      <c r="C191" s="21" t="s">
        <v>635</v>
      </c>
      <c r="D191" s="30"/>
      <c r="E191" s="31" t="s">
        <v>144</v>
      </c>
      <c r="F191" s="32" t="s">
        <v>54</v>
      </c>
      <c r="G191" s="31"/>
      <c r="I191" s="33">
        <v>44782</v>
      </c>
      <c r="J191" s="18">
        <f t="shared" si="2"/>
        <v>6623513.5135135129</v>
      </c>
      <c r="K191" s="18">
        <f t="shared" si="3"/>
        <v>728586.48648648639</v>
      </c>
      <c r="L191" s="14">
        <f>3420900+2721600+1209600</f>
        <v>7352100</v>
      </c>
    </row>
    <row r="192" spans="1:12" s="26" customFormat="1" x14ac:dyDescent="0.25">
      <c r="A192" s="13">
        <v>106</v>
      </c>
      <c r="B192" s="20" t="s">
        <v>636</v>
      </c>
      <c r="C192" s="37" t="s">
        <v>637</v>
      </c>
      <c r="D192" s="13"/>
      <c r="E192" s="38" t="s">
        <v>122</v>
      </c>
      <c r="F192" s="15" t="s">
        <v>84</v>
      </c>
      <c r="G192" s="38"/>
      <c r="I192" s="17">
        <v>44782</v>
      </c>
      <c r="J192" s="18">
        <f t="shared" si="2"/>
        <v>9600090.0900900885</v>
      </c>
      <c r="K192" s="18">
        <f t="shared" si="3"/>
        <v>1056009.9099099098</v>
      </c>
      <c r="L192" s="14">
        <f>4989600+4914000+752500</f>
        <v>10656100</v>
      </c>
    </row>
    <row r="193" spans="1:12" s="26" customFormat="1" x14ac:dyDescent="0.25">
      <c r="A193" s="13">
        <v>107</v>
      </c>
      <c r="B193" s="20" t="s">
        <v>638</v>
      </c>
      <c r="C193" s="21" t="s">
        <v>639</v>
      </c>
      <c r="D193" s="30"/>
      <c r="E193" s="7" t="s">
        <v>117</v>
      </c>
      <c r="F193" s="7" t="s">
        <v>118</v>
      </c>
      <c r="G193" s="31"/>
      <c r="I193" s="33">
        <v>44782</v>
      </c>
      <c r="J193" s="18">
        <f t="shared" si="2"/>
        <v>5880315.3153153146</v>
      </c>
      <c r="K193" s="18">
        <f t="shared" si="3"/>
        <v>646834.68468468462</v>
      </c>
      <c r="L193" s="14">
        <f>3420900+3106250</f>
        <v>6527150</v>
      </c>
    </row>
    <row r="194" spans="1:12" s="26" customFormat="1" x14ac:dyDescent="0.25">
      <c r="A194" s="13">
        <v>108</v>
      </c>
      <c r="B194" s="20" t="s">
        <v>640</v>
      </c>
      <c r="C194" s="21" t="s">
        <v>641</v>
      </c>
      <c r="D194" s="30"/>
      <c r="E194" s="31" t="s">
        <v>642</v>
      </c>
      <c r="F194" s="32" t="s">
        <v>570</v>
      </c>
      <c r="G194" s="31"/>
      <c r="I194" s="33">
        <v>44781</v>
      </c>
      <c r="J194" s="18">
        <f t="shared" si="2"/>
        <v>227027.02702702701</v>
      </c>
      <c r="K194" s="18">
        <f t="shared" si="3"/>
        <v>24972.97297297297</v>
      </c>
      <c r="L194" s="14">
        <v>252000</v>
      </c>
    </row>
    <row r="195" spans="1:12" s="26" customFormat="1" x14ac:dyDescent="0.25">
      <c r="A195" s="13">
        <v>109</v>
      </c>
      <c r="B195" s="20" t="s">
        <v>643</v>
      </c>
      <c r="C195" s="21" t="s">
        <v>644</v>
      </c>
      <c r="D195" s="30"/>
      <c r="E195" s="31" t="s">
        <v>106</v>
      </c>
      <c r="F195" s="32" t="s">
        <v>74</v>
      </c>
      <c r="G195" s="31"/>
      <c r="I195" s="33">
        <v>44782</v>
      </c>
      <c r="J195" s="18">
        <f t="shared" si="2"/>
        <v>4749989.1891891891</v>
      </c>
      <c r="K195" s="18">
        <f t="shared" si="3"/>
        <v>522498.81081081083</v>
      </c>
      <c r="L195" s="14">
        <f>1320960+1388040+2563488</f>
        <v>5272488</v>
      </c>
    </row>
    <row r="196" spans="1:12" s="26" customFormat="1" x14ac:dyDescent="0.25">
      <c r="A196" s="13">
        <v>110</v>
      </c>
      <c r="B196" s="20" t="s">
        <v>645</v>
      </c>
      <c r="C196" s="21" t="s">
        <v>646</v>
      </c>
      <c r="D196" s="30"/>
      <c r="E196" s="31" t="s">
        <v>96</v>
      </c>
      <c r="F196" s="32" t="s">
        <v>97</v>
      </c>
      <c r="G196" s="31"/>
      <c r="I196" s="33">
        <v>44783</v>
      </c>
      <c r="J196" s="18">
        <f t="shared" si="2"/>
        <v>11013648.648648648</v>
      </c>
      <c r="K196" s="18">
        <f t="shared" si="3"/>
        <v>1211501.3513513512</v>
      </c>
      <c r="L196" s="14">
        <f>6519450+2083200+3622500</f>
        <v>12225150</v>
      </c>
    </row>
    <row r="197" spans="1:12" s="26" customFormat="1" x14ac:dyDescent="0.25">
      <c r="A197" s="13">
        <v>111</v>
      </c>
      <c r="B197" s="20" t="s">
        <v>647</v>
      </c>
      <c r="C197" s="21" t="s">
        <v>648</v>
      </c>
      <c r="D197" s="30"/>
      <c r="E197" s="31" t="s">
        <v>94</v>
      </c>
      <c r="F197" s="32" t="s">
        <v>95</v>
      </c>
      <c r="G197" s="31"/>
      <c r="I197" s="33">
        <v>44782</v>
      </c>
      <c r="J197" s="18">
        <f t="shared" si="2"/>
        <v>15381081.081081079</v>
      </c>
      <c r="K197" s="18">
        <f t="shared" si="3"/>
        <v>1691918.9189189188</v>
      </c>
      <c r="L197" s="14">
        <f>7528500+6577200+2967300</f>
        <v>17073000</v>
      </c>
    </row>
    <row r="198" spans="1:12" s="26" customFormat="1" x14ac:dyDescent="0.25">
      <c r="A198" s="13">
        <v>112</v>
      </c>
      <c r="B198" s="20" t="s">
        <v>649</v>
      </c>
      <c r="C198" s="21" t="s">
        <v>650</v>
      </c>
      <c r="D198" s="30"/>
      <c r="E198" s="31" t="s">
        <v>651</v>
      </c>
      <c r="F198" s="32" t="s">
        <v>652</v>
      </c>
      <c r="G198" s="31"/>
      <c r="I198" s="33">
        <v>44783</v>
      </c>
      <c r="J198" s="18">
        <f t="shared" si="2"/>
        <v>13916756.756756756</v>
      </c>
      <c r="K198" s="18">
        <f t="shared" si="3"/>
        <v>1530843.2432432433</v>
      </c>
      <c r="L198" s="14">
        <f>10497600+4950000</f>
        <v>15447600</v>
      </c>
    </row>
    <row r="199" spans="1:12" s="26" customFormat="1" x14ac:dyDescent="0.25">
      <c r="A199" s="13">
        <v>113</v>
      </c>
      <c r="B199" s="20" t="s">
        <v>653</v>
      </c>
      <c r="C199" s="21" t="s">
        <v>654</v>
      </c>
      <c r="D199" s="30"/>
      <c r="E199" s="31" t="s">
        <v>156</v>
      </c>
      <c r="F199" s="32" t="s">
        <v>92</v>
      </c>
      <c r="G199" s="31"/>
      <c r="I199" s="33">
        <v>44783</v>
      </c>
      <c r="J199" s="18">
        <f t="shared" si="2"/>
        <v>751340.54054054047</v>
      </c>
      <c r="K199" s="18">
        <f t="shared" si="3"/>
        <v>82647.459459459453</v>
      </c>
      <c r="L199" s="14">
        <v>833988</v>
      </c>
    </row>
    <row r="200" spans="1:12" s="26" customFormat="1" x14ac:dyDescent="0.25">
      <c r="A200" s="13">
        <v>114</v>
      </c>
      <c r="B200" s="20" t="s">
        <v>655</v>
      </c>
      <c r="C200" s="21" t="s">
        <v>656</v>
      </c>
      <c r="D200" s="30"/>
      <c r="E200" s="31" t="s">
        <v>657</v>
      </c>
      <c r="F200" s="32" t="s">
        <v>27</v>
      </c>
      <c r="G200" s="31"/>
      <c r="I200" s="33">
        <v>44783</v>
      </c>
      <c r="J200" s="18">
        <f t="shared" si="2"/>
        <v>270000</v>
      </c>
      <c r="K200" s="18">
        <f t="shared" si="3"/>
        <v>29700</v>
      </c>
      <c r="L200" s="14">
        <v>299700</v>
      </c>
    </row>
    <row r="201" spans="1:12" s="26" customFormat="1" x14ac:dyDescent="0.25">
      <c r="A201" s="13">
        <v>115</v>
      </c>
      <c r="B201" s="20" t="s">
        <v>658</v>
      </c>
      <c r="C201" s="21" t="s">
        <v>659</v>
      </c>
      <c r="D201" s="30"/>
      <c r="E201" s="31" t="s">
        <v>660</v>
      </c>
      <c r="F201" s="32" t="s">
        <v>59</v>
      </c>
      <c r="G201" s="31"/>
      <c r="I201" s="33">
        <v>44783</v>
      </c>
      <c r="J201" s="18">
        <f t="shared" si="2"/>
        <v>5793121.6216216208</v>
      </c>
      <c r="K201" s="18">
        <f t="shared" si="3"/>
        <v>637243.37837837834</v>
      </c>
      <c r="L201" s="14">
        <f>4183965+207360+2039040</f>
        <v>6430365</v>
      </c>
    </row>
    <row r="202" spans="1:12" s="26" customFormat="1" x14ac:dyDescent="0.25">
      <c r="A202" s="13">
        <v>116</v>
      </c>
      <c r="B202" s="20" t="s">
        <v>661</v>
      </c>
      <c r="C202" s="21" t="s">
        <v>662</v>
      </c>
      <c r="D202" s="30"/>
      <c r="E202" s="31" t="s">
        <v>58</v>
      </c>
      <c r="F202" s="32" t="s">
        <v>59</v>
      </c>
      <c r="G202" s="31"/>
      <c r="I202" s="33">
        <v>44784</v>
      </c>
      <c r="J202" s="18">
        <f t="shared" si="2"/>
        <v>2426430.6306306305</v>
      </c>
      <c r="K202" s="18">
        <f t="shared" si="3"/>
        <v>266907.36936936935</v>
      </c>
      <c r="L202" s="14">
        <f>1682100+441000+570238</f>
        <v>2693338</v>
      </c>
    </row>
    <row r="203" spans="1:12" s="26" customFormat="1" x14ac:dyDescent="0.25">
      <c r="A203" s="13">
        <v>117</v>
      </c>
      <c r="B203" s="20" t="s">
        <v>663</v>
      </c>
      <c r="C203" s="37" t="s">
        <v>664</v>
      </c>
      <c r="D203" s="13"/>
      <c r="E203" s="38" t="s">
        <v>129</v>
      </c>
      <c r="F203" s="15" t="s">
        <v>136</v>
      </c>
      <c r="G203" s="38"/>
      <c r="I203" s="17">
        <v>44784</v>
      </c>
      <c r="J203" s="18">
        <f t="shared" ref="J203:J266" si="4">L203/1.11</f>
        <v>2238468.4684684682</v>
      </c>
      <c r="K203" s="18">
        <f t="shared" ref="K203:K266" si="5">J203*11%</f>
        <v>246231.53153153151</v>
      </c>
      <c r="L203" s="14">
        <f>224700+115000+2145000</f>
        <v>2484700</v>
      </c>
    </row>
    <row r="204" spans="1:12" s="26" customFormat="1" x14ac:dyDescent="0.25">
      <c r="A204" s="13">
        <v>118</v>
      </c>
      <c r="B204" s="20" t="s">
        <v>665</v>
      </c>
      <c r="C204" s="21" t="s">
        <v>666</v>
      </c>
      <c r="D204" s="30"/>
      <c r="E204" s="7" t="s">
        <v>104</v>
      </c>
      <c r="F204" s="7" t="s">
        <v>47</v>
      </c>
      <c r="G204" s="31"/>
      <c r="I204" s="33">
        <v>44784</v>
      </c>
      <c r="J204" s="18">
        <f t="shared" si="4"/>
        <v>14317345.945945945</v>
      </c>
      <c r="K204" s="18">
        <f t="shared" si="5"/>
        <v>1574908.054054054</v>
      </c>
      <c r="L204" s="14">
        <f>2003904+2066400+11821950</f>
        <v>15892254</v>
      </c>
    </row>
    <row r="205" spans="1:12" s="26" customFormat="1" x14ac:dyDescent="0.25">
      <c r="A205" s="13">
        <v>119</v>
      </c>
      <c r="B205" s="20" t="s">
        <v>667</v>
      </c>
      <c r="C205" s="21" t="s">
        <v>668</v>
      </c>
      <c r="D205" s="30"/>
      <c r="E205" s="31" t="s">
        <v>125</v>
      </c>
      <c r="F205" s="32" t="s">
        <v>84</v>
      </c>
      <c r="G205" s="31"/>
      <c r="I205" s="33">
        <v>44784</v>
      </c>
      <c r="J205" s="18">
        <f t="shared" si="4"/>
        <v>7339594.5945945941</v>
      </c>
      <c r="K205" s="18">
        <f t="shared" si="5"/>
        <v>807355.40540540533</v>
      </c>
      <c r="L205" s="14">
        <f>1710450+4914000+1522500</f>
        <v>8146950</v>
      </c>
    </row>
    <row r="206" spans="1:12" s="26" customFormat="1" x14ac:dyDescent="0.25">
      <c r="A206" s="13">
        <v>120</v>
      </c>
      <c r="B206" s="20" t="s">
        <v>669</v>
      </c>
      <c r="C206" s="21" t="s">
        <v>670</v>
      </c>
      <c r="D206" s="30"/>
      <c r="E206" s="31" t="s">
        <v>671</v>
      </c>
      <c r="F206" s="32" t="s">
        <v>672</v>
      </c>
      <c r="G206" s="31"/>
      <c r="I206" s="33">
        <v>44784</v>
      </c>
      <c r="J206" s="18">
        <f t="shared" si="4"/>
        <v>270000</v>
      </c>
      <c r="K206" s="18">
        <f t="shared" si="5"/>
        <v>29700</v>
      </c>
      <c r="L206" s="14">
        <v>299700</v>
      </c>
    </row>
    <row r="207" spans="1:12" s="26" customFormat="1" x14ac:dyDescent="0.25">
      <c r="A207" s="13">
        <v>121</v>
      </c>
      <c r="B207" s="20" t="s">
        <v>673</v>
      </c>
      <c r="C207" s="21" t="s">
        <v>674</v>
      </c>
      <c r="D207" s="30"/>
      <c r="E207" s="31" t="s">
        <v>88</v>
      </c>
      <c r="F207" s="32" t="s">
        <v>89</v>
      </c>
      <c r="G207" s="31"/>
      <c r="I207" s="33">
        <v>44785</v>
      </c>
      <c r="J207" s="18">
        <f t="shared" si="4"/>
        <v>11734459.459459458</v>
      </c>
      <c r="K207" s="18">
        <f t="shared" si="5"/>
        <v>1290790.5405405404</v>
      </c>
      <c r="L207" s="14">
        <f>5654250+7371000</f>
        <v>13025250</v>
      </c>
    </row>
    <row r="208" spans="1:12" s="26" customFormat="1" x14ac:dyDescent="0.25">
      <c r="A208" s="13">
        <v>122</v>
      </c>
      <c r="B208" s="20" t="s">
        <v>675</v>
      </c>
      <c r="C208" s="21" t="s">
        <v>676</v>
      </c>
      <c r="D208" s="30"/>
      <c r="E208" s="31" t="s">
        <v>677</v>
      </c>
      <c r="F208" s="32" t="s">
        <v>97</v>
      </c>
      <c r="G208" s="31"/>
      <c r="I208" s="33">
        <v>44785</v>
      </c>
      <c r="J208" s="18">
        <f t="shared" si="4"/>
        <v>378918.91891891888</v>
      </c>
      <c r="K208" s="18">
        <f t="shared" si="5"/>
        <v>41681.08108108108</v>
      </c>
      <c r="L208" s="14">
        <v>420600</v>
      </c>
    </row>
    <row r="209" spans="1:12" s="26" customFormat="1" x14ac:dyDescent="0.25">
      <c r="A209" s="13">
        <v>123</v>
      </c>
      <c r="B209" s="20" t="s">
        <v>678</v>
      </c>
      <c r="C209" s="21" t="s">
        <v>679</v>
      </c>
      <c r="D209" s="30"/>
      <c r="E209" s="31" t="s">
        <v>53</v>
      </c>
      <c r="F209" s="32" t="s">
        <v>30</v>
      </c>
      <c r="G209" s="31"/>
      <c r="I209" s="33">
        <v>44785</v>
      </c>
      <c r="J209" s="18">
        <f t="shared" si="4"/>
        <v>24689189.189189188</v>
      </c>
      <c r="K209" s="18">
        <f t="shared" si="5"/>
        <v>2715810.8108108109</v>
      </c>
      <c r="L209" s="14">
        <f>3465000+10899000+13041000</f>
        <v>27405000</v>
      </c>
    </row>
    <row r="210" spans="1:12" s="26" customFormat="1" x14ac:dyDescent="0.25">
      <c r="A210" s="13">
        <v>124</v>
      </c>
      <c r="B210" s="20" t="s">
        <v>680</v>
      </c>
      <c r="C210" s="21" t="s">
        <v>681</v>
      </c>
      <c r="D210" s="30"/>
      <c r="E210" s="31" t="s">
        <v>682</v>
      </c>
      <c r="F210" s="32" t="s">
        <v>66</v>
      </c>
      <c r="G210" s="31"/>
      <c r="I210" s="33">
        <v>44785</v>
      </c>
      <c r="J210" s="18">
        <f t="shared" si="4"/>
        <v>1366936.9369369368</v>
      </c>
      <c r="K210" s="18">
        <f t="shared" si="5"/>
        <v>150363.06306306305</v>
      </c>
      <c r="L210" s="14">
        <v>1517300</v>
      </c>
    </row>
    <row r="211" spans="1:12" s="26" customFormat="1" x14ac:dyDescent="0.25">
      <c r="A211" s="13">
        <v>125</v>
      </c>
      <c r="B211" s="20" t="s">
        <v>683</v>
      </c>
      <c r="C211" s="21" t="s">
        <v>684</v>
      </c>
      <c r="D211" s="30"/>
      <c r="E211" s="31" t="s">
        <v>132</v>
      </c>
      <c r="F211" s="32" t="s">
        <v>133</v>
      </c>
      <c r="G211" s="31"/>
      <c r="I211" s="33">
        <v>44785</v>
      </c>
      <c r="J211" s="18">
        <f t="shared" si="4"/>
        <v>6887432.4324324317</v>
      </c>
      <c r="K211" s="18">
        <f t="shared" si="5"/>
        <v>757617.56756756746</v>
      </c>
      <c r="L211" s="14">
        <f>2608200+1710450+3326400</f>
        <v>7645050</v>
      </c>
    </row>
    <row r="212" spans="1:12" s="26" customFormat="1" x14ac:dyDescent="0.25">
      <c r="A212" s="13">
        <v>126</v>
      </c>
      <c r="B212" s="20" t="s">
        <v>685</v>
      </c>
      <c r="C212" s="21" t="s">
        <v>686</v>
      </c>
      <c r="D212" s="30"/>
      <c r="E212" s="31" t="s">
        <v>73</v>
      </c>
      <c r="F212" s="32" t="s">
        <v>74</v>
      </c>
      <c r="G212" s="31"/>
      <c r="I212" s="33">
        <v>44786</v>
      </c>
      <c r="J212" s="18">
        <f t="shared" si="4"/>
        <v>4201448.6486486485</v>
      </c>
      <c r="K212" s="18">
        <f t="shared" si="5"/>
        <v>462159.35135135136</v>
      </c>
      <c r="L212" s="14">
        <f>2733768+433440+1496400</f>
        <v>4663608</v>
      </c>
    </row>
    <row r="213" spans="1:12" s="26" customFormat="1" x14ac:dyDescent="0.25">
      <c r="A213" s="13">
        <v>127</v>
      </c>
      <c r="B213" s="20" t="s">
        <v>687</v>
      </c>
      <c r="C213" s="21" t="s">
        <v>688</v>
      </c>
      <c r="D213" s="30"/>
      <c r="E213" s="31" t="s">
        <v>131</v>
      </c>
      <c r="F213" s="32" t="s">
        <v>66</v>
      </c>
      <c r="G213" s="31"/>
      <c r="I213" s="33">
        <v>44786</v>
      </c>
      <c r="J213" s="18">
        <f t="shared" si="4"/>
        <v>320720.72072072071</v>
      </c>
      <c r="K213" s="18">
        <f t="shared" si="5"/>
        <v>35279.279279279275</v>
      </c>
      <c r="L213" s="14">
        <v>356000</v>
      </c>
    </row>
    <row r="214" spans="1:12" s="26" customFormat="1" x14ac:dyDescent="0.25">
      <c r="A214" s="13">
        <v>128</v>
      </c>
      <c r="B214" s="20" t="s">
        <v>689</v>
      </c>
      <c r="C214" s="37" t="s">
        <v>690</v>
      </c>
      <c r="D214" s="13"/>
      <c r="E214" s="38" t="s">
        <v>81</v>
      </c>
      <c r="F214" s="15" t="s">
        <v>82</v>
      </c>
      <c r="G214" s="38"/>
      <c r="I214" s="17">
        <v>44786</v>
      </c>
      <c r="J214" s="18">
        <f t="shared" si="4"/>
        <v>13205189.189189188</v>
      </c>
      <c r="K214" s="18">
        <f t="shared" si="5"/>
        <v>1452570.8108108107</v>
      </c>
      <c r="L214" s="14">
        <f>5054400+3382560+6220800</f>
        <v>14657760</v>
      </c>
    </row>
    <row r="215" spans="1:12" s="26" customFormat="1" x14ac:dyDescent="0.25">
      <c r="A215" s="13">
        <v>129</v>
      </c>
      <c r="B215" s="20" t="s">
        <v>691</v>
      </c>
      <c r="C215" s="21" t="s">
        <v>692</v>
      </c>
      <c r="D215" s="30"/>
      <c r="E215" s="7" t="s">
        <v>693</v>
      </c>
      <c r="F215" s="7" t="s">
        <v>694</v>
      </c>
      <c r="G215" s="31"/>
      <c r="I215" s="33">
        <v>44786</v>
      </c>
      <c r="J215" s="18">
        <f t="shared" si="4"/>
        <v>1555315.3153153153</v>
      </c>
      <c r="K215" s="18">
        <f t="shared" si="5"/>
        <v>171084.68468468467</v>
      </c>
      <c r="L215" s="14">
        <v>1726400</v>
      </c>
    </row>
    <row r="216" spans="1:12" s="26" customFormat="1" x14ac:dyDescent="0.25">
      <c r="A216" s="13">
        <v>130</v>
      </c>
      <c r="B216" s="20" t="s">
        <v>695</v>
      </c>
      <c r="C216" s="21" t="s">
        <v>696</v>
      </c>
      <c r="D216" s="30"/>
      <c r="E216" s="31" t="s">
        <v>109</v>
      </c>
      <c r="F216" s="32" t="s">
        <v>21</v>
      </c>
      <c r="G216" s="31"/>
      <c r="I216" s="33">
        <v>44788</v>
      </c>
      <c r="J216" s="18">
        <f t="shared" si="4"/>
        <v>8430675.6756756753</v>
      </c>
      <c r="K216" s="18">
        <f t="shared" si="5"/>
        <v>927374.32432432426</v>
      </c>
      <c r="L216" s="14">
        <f>4100700+2586150+2671200</f>
        <v>9358050</v>
      </c>
    </row>
    <row r="217" spans="1:12" s="26" customFormat="1" x14ac:dyDescent="0.25">
      <c r="A217" s="13">
        <v>131</v>
      </c>
      <c r="B217" s="20" t="s">
        <v>697</v>
      </c>
      <c r="C217" s="21" t="s">
        <v>698</v>
      </c>
      <c r="D217" s="30"/>
      <c r="E217" s="31" t="s">
        <v>96</v>
      </c>
      <c r="F217" s="32" t="s">
        <v>97</v>
      </c>
      <c r="G217" s="31"/>
      <c r="I217" s="33">
        <v>44788</v>
      </c>
      <c r="J217" s="18">
        <f t="shared" si="4"/>
        <v>4088378.3783783782</v>
      </c>
      <c r="K217" s="18">
        <f t="shared" si="5"/>
        <v>449721.6216216216</v>
      </c>
      <c r="L217" s="14">
        <f>2608200+1499400+430500</f>
        <v>4538100</v>
      </c>
    </row>
    <row r="218" spans="1:12" s="26" customFormat="1" x14ac:dyDescent="0.25">
      <c r="A218" s="13">
        <v>132</v>
      </c>
      <c r="B218" s="20" t="s">
        <v>699</v>
      </c>
      <c r="C218" s="21" t="s">
        <v>700</v>
      </c>
      <c r="D218" s="30"/>
      <c r="E218" s="31" t="s">
        <v>76</v>
      </c>
      <c r="F218" s="32" t="s">
        <v>77</v>
      </c>
      <c r="G218" s="31"/>
      <c r="I218" s="33">
        <v>44788</v>
      </c>
      <c r="J218" s="18">
        <f t="shared" si="4"/>
        <v>8638054.0540540535</v>
      </c>
      <c r="K218" s="18">
        <f t="shared" si="5"/>
        <v>950185.94594594592</v>
      </c>
      <c r="L218" s="14">
        <f>3214080+1425600+4948560</f>
        <v>9588240</v>
      </c>
    </row>
    <row r="219" spans="1:12" s="26" customFormat="1" x14ac:dyDescent="0.25">
      <c r="A219" s="13">
        <v>133</v>
      </c>
      <c r="B219" s="20" t="s">
        <v>701</v>
      </c>
      <c r="C219" s="21" t="s">
        <v>702</v>
      </c>
      <c r="D219" s="30"/>
      <c r="E219" s="31" t="s">
        <v>116</v>
      </c>
      <c r="F219" s="32" t="s">
        <v>47</v>
      </c>
      <c r="G219" s="31"/>
      <c r="I219" s="33">
        <v>44788</v>
      </c>
      <c r="J219" s="18">
        <f t="shared" si="4"/>
        <v>16152184.684684683</v>
      </c>
      <c r="K219" s="18">
        <f t="shared" si="5"/>
        <v>1776740.315315315</v>
      </c>
      <c r="L219" s="14">
        <f>6303325+6615000+5010600</f>
        <v>17928925</v>
      </c>
    </row>
    <row r="220" spans="1:12" s="26" customFormat="1" x14ac:dyDescent="0.25">
      <c r="A220" s="13">
        <v>134</v>
      </c>
      <c r="B220" s="20" t="s">
        <v>703</v>
      </c>
      <c r="C220" s="21" t="s">
        <v>704</v>
      </c>
      <c r="D220" s="30"/>
      <c r="E220" s="31" t="s">
        <v>46</v>
      </c>
      <c r="F220" s="32" t="s">
        <v>47</v>
      </c>
      <c r="G220" s="31"/>
      <c r="I220" s="33">
        <v>44788</v>
      </c>
      <c r="J220" s="18">
        <f t="shared" si="4"/>
        <v>18009594.594594594</v>
      </c>
      <c r="K220" s="18">
        <f t="shared" si="5"/>
        <v>1981055.4054054054</v>
      </c>
      <c r="L220" s="14">
        <f>7711200+5503050+6776400</f>
        <v>19990650</v>
      </c>
    </row>
    <row r="221" spans="1:12" s="26" customFormat="1" x14ac:dyDescent="0.25">
      <c r="A221" s="13">
        <v>135</v>
      </c>
      <c r="B221" s="20" t="s">
        <v>705</v>
      </c>
      <c r="C221" s="21" t="s">
        <v>706</v>
      </c>
      <c r="D221" s="30"/>
      <c r="E221" s="31" t="s">
        <v>99</v>
      </c>
      <c r="F221" s="32" t="s">
        <v>49</v>
      </c>
      <c r="G221" s="31"/>
      <c r="I221" s="33">
        <v>44788</v>
      </c>
      <c r="J221" s="18">
        <f t="shared" si="4"/>
        <v>17143220.72072072</v>
      </c>
      <c r="K221" s="18">
        <f t="shared" si="5"/>
        <v>1885754.2792792791</v>
      </c>
      <c r="L221" s="14">
        <f>7520975+5239500+6268500</f>
        <v>19028975</v>
      </c>
    </row>
    <row r="222" spans="1:12" s="26" customFormat="1" x14ac:dyDescent="0.25">
      <c r="A222" s="13">
        <v>136</v>
      </c>
      <c r="B222" s="20" t="s">
        <v>707</v>
      </c>
      <c r="C222" s="21" t="s">
        <v>708</v>
      </c>
      <c r="D222" s="30"/>
      <c r="E222" s="31" t="s">
        <v>160</v>
      </c>
      <c r="F222" s="32" t="s">
        <v>152</v>
      </c>
      <c r="G222" s="31"/>
      <c r="I222" s="33">
        <v>44789</v>
      </c>
      <c r="J222" s="18">
        <f t="shared" si="4"/>
        <v>36037221.621621616</v>
      </c>
      <c r="K222" s="18">
        <f t="shared" si="5"/>
        <v>3964094.3783783778</v>
      </c>
      <c r="L222" s="14">
        <f>12610152+7007280+3021180+17362704</f>
        <v>40001316</v>
      </c>
    </row>
    <row r="223" spans="1:12" s="26" customFormat="1" x14ac:dyDescent="0.25">
      <c r="A223" s="36">
        <v>137</v>
      </c>
      <c r="B223" s="20" t="s">
        <v>709</v>
      </c>
      <c r="C223" s="21" t="s">
        <v>710</v>
      </c>
      <c r="D223" s="30"/>
      <c r="E223" s="31" t="s">
        <v>53</v>
      </c>
      <c r="F223" s="32" t="s">
        <v>54</v>
      </c>
      <c r="G223" s="31"/>
      <c r="I223" s="33">
        <v>44789</v>
      </c>
      <c r="J223" s="18">
        <f t="shared" si="4"/>
        <v>5487217.1171171162</v>
      </c>
      <c r="K223" s="18">
        <f t="shared" si="5"/>
        <v>603593.88288288284</v>
      </c>
      <c r="L223" s="14">
        <f>934200+4269871+886740</f>
        <v>6090811</v>
      </c>
    </row>
    <row r="224" spans="1:12" s="26" customFormat="1" x14ac:dyDescent="0.25">
      <c r="A224" s="13">
        <v>138</v>
      </c>
      <c r="B224" s="20" t="s">
        <v>711</v>
      </c>
      <c r="C224" s="21" t="s">
        <v>712</v>
      </c>
      <c r="D224" s="30"/>
      <c r="E224" s="31" t="s">
        <v>107</v>
      </c>
      <c r="F224" s="32" t="s">
        <v>21</v>
      </c>
      <c r="G224" s="31"/>
      <c r="I224" s="33">
        <v>44786</v>
      </c>
      <c r="J224" s="18">
        <f t="shared" si="4"/>
        <v>40636216.216216214</v>
      </c>
      <c r="K224" s="18">
        <f t="shared" si="5"/>
        <v>4469983.7837837832</v>
      </c>
      <c r="L224" s="14">
        <f>13122000+20355300+11628900</f>
        <v>45106200</v>
      </c>
    </row>
    <row r="225" spans="1:12" s="26" customFormat="1" x14ac:dyDescent="0.25">
      <c r="A225" s="13">
        <v>139</v>
      </c>
      <c r="B225" s="20" t="s">
        <v>713</v>
      </c>
      <c r="C225" s="37" t="s">
        <v>714</v>
      </c>
      <c r="D225" s="13"/>
      <c r="E225" s="38" t="s">
        <v>53</v>
      </c>
      <c r="F225" s="15" t="s">
        <v>114</v>
      </c>
      <c r="G225" s="38"/>
      <c r="I225" s="17">
        <v>44786</v>
      </c>
      <c r="J225" s="18">
        <f t="shared" si="4"/>
        <v>6602918.9189189179</v>
      </c>
      <c r="K225" s="18">
        <f t="shared" si="5"/>
        <v>726321.08108108095</v>
      </c>
      <c r="L225" s="14">
        <f>5133240+2196000</f>
        <v>7329240</v>
      </c>
    </row>
    <row r="226" spans="1:12" s="26" customFormat="1" x14ac:dyDescent="0.25">
      <c r="A226" s="13">
        <v>140</v>
      </c>
      <c r="B226" s="20" t="s">
        <v>715</v>
      </c>
      <c r="C226" s="21" t="s">
        <v>716</v>
      </c>
      <c r="D226" s="30"/>
      <c r="E226" s="31" t="s">
        <v>717</v>
      </c>
      <c r="F226" s="32" t="s">
        <v>78</v>
      </c>
      <c r="G226" s="31"/>
      <c r="I226" s="33">
        <v>44786</v>
      </c>
      <c r="J226" s="18">
        <f t="shared" si="4"/>
        <v>1333333.3333333333</v>
      </c>
      <c r="K226" s="18">
        <f t="shared" si="5"/>
        <v>146666.66666666666</v>
      </c>
      <c r="L226" s="14">
        <v>1480000</v>
      </c>
    </row>
    <row r="227" spans="1:12" s="26" customFormat="1" x14ac:dyDescent="0.25">
      <c r="A227" s="13">
        <v>141</v>
      </c>
      <c r="B227" s="20" t="s">
        <v>718</v>
      </c>
      <c r="C227" s="21" t="s">
        <v>719</v>
      </c>
      <c r="D227" s="30"/>
      <c r="E227" s="31" t="s">
        <v>720</v>
      </c>
      <c r="F227" s="32" t="s">
        <v>155</v>
      </c>
      <c r="G227" s="31"/>
      <c r="I227" s="33">
        <v>44786</v>
      </c>
      <c r="J227" s="18">
        <f t="shared" si="4"/>
        <v>567567.56756756757</v>
      </c>
      <c r="K227" s="18">
        <f t="shared" si="5"/>
        <v>62432.432432432433</v>
      </c>
      <c r="L227" s="14">
        <v>630000</v>
      </c>
    </row>
    <row r="228" spans="1:12" s="26" customFormat="1" x14ac:dyDescent="0.25">
      <c r="A228" s="13">
        <v>142</v>
      </c>
      <c r="B228" s="20" t="s">
        <v>721</v>
      </c>
      <c r="C228" s="21" t="s">
        <v>722</v>
      </c>
      <c r="D228" s="30"/>
      <c r="E228" s="31" t="s">
        <v>723</v>
      </c>
      <c r="F228" s="32" t="s">
        <v>155</v>
      </c>
      <c r="G228" s="31"/>
      <c r="I228" s="33">
        <v>44786</v>
      </c>
      <c r="J228" s="18">
        <f t="shared" si="4"/>
        <v>1489864.8648648646</v>
      </c>
      <c r="K228" s="18">
        <f t="shared" si="5"/>
        <v>163885.13513513512</v>
      </c>
      <c r="L228" s="14">
        <v>1653750</v>
      </c>
    </row>
    <row r="229" spans="1:12" s="26" customFormat="1" x14ac:dyDescent="0.25">
      <c r="A229" s="13">
        <v>143</v>
      </c>
      <c r="B229" s="20" t="s">
        <v>724</v>
      </c>
      <c r="C229" s="21" t="s">
        <v>725</v>
      </c>
      <c r="D229" s="30"/>
      <c r="E229" s="31" t="s">
        <v>134</v>
      </c>
      <c r="F229" s="32" t="s">
        <v>64</v>
      </c>
      <c r="G229" s="31"/>
      <c r="I229" s="33">
        <v>44788</v>
      </c>
      <c r="J229" s="18">
        <f t="shared" si="4"/>
        <v>886936.93693693681</v>
      </c>
      <c r="K229" s="18">
        <f t="shared" si="5"/>
        <v>97563.063063063048</v>
      </c>
      <c r="L229" s="14">
        <f>672000+312500</f>
        <v>984500</v>
      </c>
    </row>
    <row r="230" spans="1:12" s="26" customFormat="1" x14ac:dyDescent="0.25">
      <c r="A230" s="13">
        <v>144</v>
      </c>
      <c r="B230" s="20" t="s">
        <v>726</v>
      </c>
      <c r="C230" s="37" t="s">
        <v>727</v>
      </c>
      <c r="D230" s="13"/>
      <c r="E230" s="38" t="s">
        <v>119</v>
      </c>
      <c r="F230" s="15" t="s">
        <v>75</v>
      </c>
      <c r="G230" s="38"/>
      <c r="I230" s="17">
        <v>44788</v>
      </c>
      <c r="J230" s="18">
        <f t="shared" si="4"/>
        <v>1868108.1081081079</v>
      </c>
      <c r="K230" s="18">
        <f t="shared" si="5"/>
        <v>205491.89189189186</v>
      </c>
      <c r="L230" s="14">
        <v>2073600</v>
      </c>
    </row>
    <row r="231" spans="1:12" s="26" customFormat="1" x14ac:dyDescent="0.25">
      <c r="A231" s="13">
        <v>145</v>
      </c>
      <c r="B231" s="20" t="s">
        <v>728</v>
      </c>
      <c r="C231" s="21" t="s">
        <v>729</v>
      </c>
      <c r="D231" s="30"/>
      <c r="E231" s="31" t="s">
        <v>730</v>
      </c>
      <c r="F231" s="32" t="s">
        <v>78</v>
      </c>
      <c r="G231" s="31"/>
      <c r="I231" s="33">
        <v>44788</v>
      </c>
      <c r="J231" s="18">
        <f t="shared" si="4"/>
        <v>1801801.8018018017</v>
      </c>
      <c r="K231" s="18">
        <f t="shared" si="5"/>
        <v>198198.1981981982</v>
      </c>
      <c r="L231" s="14">
        <v>2000000</v>
      </c>
    </row>
    <row r="232" spans="1:12" s="26" customFormat="1" x14ac:dyDescent="0.25">
      <c r="A232" s="13">
        <v>146</v>
      </c>
      <c r="B232" s="20" t="s">
        <v>731</v>
      </c>
      <c r="C232" s="21" t="s">
        <v>732</v>
      </c>
      <c r="D232" s="30"/>
      <c r="E232" s="31" t="s">
        <v>142</v>
      </c>
      <c r="F232" s="32" t="s">
        <v>47</v>
      </c>
      <c r="G232" s="31"/>
      <c r="I232" s="33">
        <v>44789</v>
      </c>
      <c r="J232" s="18">
        <f t="shared" si="4"/>
        <v>2784076.5765765761</v>
      </c>
      <c r="K232" s="18">
        <f t="shared" si="5"/>
        <v>306248.42342342337</v>
      </c>
      <c r="L232" s="14">
        <v>3090325</v>
      </c>
    </row>
    <row r="233" spans="1:12" s="26" customFormat="1" x14ac:dyDescent="0.25">
      <c r="A233" s="13">
        <v>147</v>
      </c>
      <c r="B233" s="20" t="s">
        <v>733</v>
      </c>
      <c r="C233" s="21" t="s">
        <v>734</v>
      </c>
      <c r="D233" s="30"/>
      <c r="E233" s="31" t="s">
        <v>83</v>
      </c>
      <c r="F233" s="32" t="s">
        <v>84</v>
      </c>
      <c r="G233" s="31"/>
      <c r="I233" s="33">
        <v>44789</v>
      </c>
      <c r="J233" s="18">
        <f t="shared" si="4"/>
        <v>7057702.702702702</v>
      </c>
      <c r="K233" s="18">
        <f t="shared" si="5"/>
        <v>776347.29729729728</v>
      </c>
      <c r="L233" s="14">
        <f>5112450+2721600</f>
        <v>7834050</v>
      </c>
    </row>
    <row r="234" spans="1:12" s="26" customFormat="1" x14ac:dyDescent="0.25">
      <c r="A234" s="13">
        <v>148</v>
      </c>
      <c r="B234" s="20" t="s">
        <v>735</v>
      </c>
      <c r="C234" s="21" t="s">
        <v>736</v>
      </c>
      <c r="D234" s="30"/>
      <c r="E234" s="31" t="s">
        <v>52</v>
      </c>
      <c r="F234" s="32" t="s">
        <v>35</v>
      </c>
      <c r="G234" s="31"/>
      <c r="I234" s="33">
        <v>44789</v>
      </c>
      <c r="J234" s="18">
        <f t="shared" si="4"/>
        <v>6827005.405405405</v>
      </c>
      <c r="K234" s="18">
        <f t="shared" si="5"/>
        <v>750970.59459459456</v>
      </c>
      <c r="L234" s="14">
        <f>1212600+1238400+5126976</f>
        <v>7577976</v>
      </c>
    </row>
    <row r="235" spans="1:12" s="26" customFormat="1" x14ac:dyDescent="0.25">
      <c r="A235" s="13">
        <v>149</v>
      </c>
      <c r="B235" s="20" t="s">
        <v>737</v>
      </c>
      <c r="C235" s="21" t="s">
        <v>738</v>
      </c>
      <c r="D235" s="30"/>
      <c r="E235" s="31" t="s">
        <v>113</v>
      </c>
      <c r="F235" s="32" t="s">
        <v>114</v>
      </c>
      <c r="G235" s="31"/>
      <c r="I235" s="33">
        <v>44789</v>
      </c>
      <c r="J235" s="18">
        <f t="shared" si="4"/>
        <v>639189.18918918911</v>
      </c>
      <c r="K235" s="18">
        <f t="shared" si="5"/>
        <v>70310.810810810799</v>
      </c>
      <c r="L235" s="14">
        <v>709500</v>
      </c>
    </row>
    <row r="236" spans="1:12" s="26" customFormat="1" x14ac:dyDescent="0.25">
      <c r="A236" s="13">
        <v>150</v>
      </c>
      <c r="B236" s="20" t="s">
        <v>739</v>
      </c>
      <c r="C236" s="21" t="s">
        <v>740</v>
      </c>
      <c r="D236" s="30"/>
      <c r="E236" s="31" t="s">
        <v>741</v>
      </c>
      <c r="F236" s="32" t="s">
        <v>155</v>
      </c>
      <c r="G236" s="31"/>
      <c r="I236" s="33">
        <v>44791</v>
      </c>
      <c r="J236" s="18">
        <f t="shared" si="4"/>
        <v>1862522.5225225224</v>
      </c>
      <c r="K236" s="18">
        <f t="shared" si="5"/>
        <v>204877.47747747746</v>
      </c>
      <c r="L236" s="14">
        <v>2067400</v>
      </c>
    </row>
    <row r="237" spans="1:12" s="26" customFormat="1" x14ac:dyDescent="0.25">
      <c r="A237" s="13">
        <v>151</v>
      </c>
      <c r="B237" s="20" t="s">
        <v>742</v>
      </c>
      <c r="C237" s="21" t="s">
        <v>743</v>
      </c>
      <c r="D237" s="30"/>
      <c r="E237" s="31" t="s">
        <v>106</v>
      </c>
      <c r="F237" s="32" t="s">
        <v>74</v>
      </c>
      <c r="G237" s="31"/>
      <c r="I237" s="33">
        <v>44791</v>
      </c>
      <c r="J237" s="18">
        <f t="shared" si="4"/>
        <v>5623005.405405405</v>
      </c>
      <c r="K237" s="18">
        <f t="shared" si="5"/>
        <v>618530.59459459456</v>
      </c>
      <c r="L237" s="14">
        <f>3461328+1680096+1100112</f>
        <v>6241536</v>
      </c>
    </row>
    <row r="238" spans="1:12" s="26" customFormat="1" x14ac:dyDescent="0.25">
      <c r="A238" s="13">
        <v>152</v>
      </c>
      <c r="B238" s="20" t="s">
        <v>744</v>
      </c>
      <c r="C238" s="21" t="s">
        <v>745</v>
      </c>
      <c r="D238" s="30"/>
      <c r="E238" s="31" t="s">
        <v>746</v>
      </c>
      <c r="F238" s="32" t="s">
        <v>747</v>
      </c>
      <c r="G238" s="31"/>
      <c r="I238" s="33">
        <v>44791</v>
      </c>
      <c r="J238" s="18">
        <f t="shared" si="4"/>
        <v>7394594.5945945941</v>
      </c>
      <c r="K238" s="18">
        <f t="shared" si="5"/>
        <v>813405.40540540533</v>
      </c>
      <c r="L238" s="14">
        <v>8208000</v>
      </c>
    </row>
    <row r="239" spans="1:12" s="26" customFormat="1" x14ac:dyDescent="0.25">
      <c r="A239" s="13">
        <v>153</v>
      </c>
      <c r="B239" s="20" t="s">
        <v>748</v>
      </c>
      <c r="C239" s="21" t="s">
        <v>749</v>
      </c>
      <c r="D239" s="30"/>
      <c r="E239" s="31" t="s">
        <v>135</v>
      </c>
      <c r="F239" s="32" t="s">
        <v>59</v>
      </c>
      <c r="G239" s="31"/>
      <c r="I239" s="33">
        <v>44791</v>
      </c>
      <c r="J239" s="18">
        <f t="shared" si="4"/>
        <v>293513.51351351349</v>
      </c>
      <c r="K239" s="18">
        <f t="shared" si="5"/>
        <v>32286.486486486483</v>
      </c>
      <c r="L239" s="14">
        <v>325800</v>
      </c>
    </row>
    <row r="240" spans="1:12" s="26" customFormat="1" x14ac:dyDescent="0.25">
      <c r="A240" s="13">
        <v>154</v>
      </c>
      <c r="B240" s="20" t="s">
        <v>750</v>
      </c>
      <c r="C240" s="37" t="s">
        <v>751</v>
      </c>
      <c r="D240" s="13"/>
      <c r="E240" s="38" t="s">
        <v>71</v>
      </c>
      <c r="F240" s="15" t="s">
        <v>72</v>
      </c>
      <c r="G240" s="38"/>
      <c r="I240" s="17">
        <v>44791</v>
      </c>
      <c r="J240" s="18">
        <f t="shared" si="4"/>
        <v>7446270.2702702694</v>
      </c>
      <c r="K240" s="18">
        <f t="shared" si="5"/>
        <v>819089.72972972959</v>
      </c>
      <c r="L240" s="14">
        <f>4291860+3280500+693000</f>
        <v>8265360</v>
      </c>
    </row>
    <row r="241" spans="1:12" s="26" customFormat="1" x14ac:dyDescent="0.25">
      <c r="A241" s="13">
        <v>155</v>
      </c>
      <c r="B241" s="20" t="s">
        <v>752</v>
      </c>
      <c r="C241" s="21" t="s">
        <v>753</v>
      </c>
      <c r="D241" s="30"/>
      <c r="E241" s="31" t="s">
        <v>67</v>
      </c>
      <c r="F241" s="32" t="s">
        <v>68</v>
      </c>
      <c r="G241" s="31"/>
      <c r="I241" s="33">
        <v>44791</v>
      </c>
      <c r="J241" s="18">
        <f t="shared" si="4"/>
        <v>4903711.7117117113</v>
      </c>
      <c r="K241" s="18">
        <f t="shared" si="5"/>
        <v>539408.28828828828</v>
      </c>
      <c r="L241" s="14">
        <f>1239200+2046200+2157720</f>
        <v>5443120</v>
      </c>
    </row>
    <row r="242" spans="1:12" s="26" customFormat="1" x14ac:dyDescent="0.25">
      <c r="A242" s="13">
        <v>156</v>
      </c>
      <c r="B242" s="20" t="s">
        <v>754</v>
      </c>
      <c r="C242" s="21" t="s">
        <v>755</v>
      </c>
      <c r="D242" s="30"/>
      <c r="E242" s="31" t="s">
        <v>53</v>
      </c>
      <c r="F242" s="32" t="s">
        <v>30</v>
      </c>
      <c r="G242" s="31"/>
      <c r="I242" s="33">
        <v>44792</v>
      </c>
      <c r="J242" s="18">
        <f t="shared" si="4"/>
        <v>10991891.891891891</v>
      </c>
      <c r="K242" s="18">
        <f t="shared" si="5"/>
        <v>1209108.1081081079</v>
      </c>
      <c r="L242" s="14">
        <f>3024000+2142000+7035000</f>
        <v>12201000</v>
      </c>
    </row>
    <row r="243" spans="1:12" s="26" customFormat="1" x14ac:dyDescent="0.25">
      <c r="A243" s="13">
        <v>157</v>
      </c>
      <c r="B243" s="20" t="s">
        <v>756</v>
      </c>
      <c r="C243" s="21" t="s">
        <v>757</v>
      </c>
      <c r="D243" s="30"/>
      <c r="E243" s="31" t="s">
        <v>143</v>
      </c>
      <c r="F243" s="32" t="s">
        <v>47</v>
      </c>
      <c r="G243" s="31"/>
      <c r="I243" s="33">
        <v>44792</v>
      </c>
      <c r="J243" s="18">
        <f t="shared" si="4"/>
        <v>3234189.1891891891</v>
      </c>
      <c r="K243" s="18">
        <f t="shared" si="5"/>
        <v>355760.81081081083</v>
      </c>
      <c r="L243" s="14">
        <v>3589950</v>
      </c>
    </row>
    <row r="244" spans="1:12" s="26" customFormat="1" x14ac:dyDescent="0.25">
      <c r="A244" s="13">
        <v>158</v>
      </c>
      <c r="B244" s="20" t="s">
        <v>758</v>
      </c>
      <c r="C244" s="21" t="s">
        <v>759</v>
      </c>
      <c r="D244" s="30"/>
      <c r="E244" s="31" t="s">
        <v>105</v>
      </c>
      <c r="F244" s="32" t="s">
        <v>47</v>
      </c>
      <c r="G244" s="31"/>
      <c r="I244" s="33">
        <v>44792</v>
      </c>
      <c r="J244" s="18">
        <f t="shared" si="4"/>
        <v>7394551.3513513505</v>
      </c>
      <c r="K244" s="18">
        <f t="shared" si="5"/>
        <v>813400.64864864852</v>
      </c>
      <c r="L244" s="14">
        <f>4259952+1184400+2763600</f>
        <v>8207952</v>
      </c>
    </row>
    <row r="245" spans="1:12" s="26" customFormat="1" x14ac:dyDescent="0.25">
      <c r="A245" s="13">
        <v>159</v>
      </c>
      <c r="B245" s="20" t="s">
        <v>760</v>
      </c>
      <c r="C245" s="21" t="s">
        <v>761</v>
      </c>
      <c r="D245" s="30"/>
      <c r="E245" s="31" t="s">
        <v>104</v>
      </c>
      <c r="F245" s="32" t="s">
        <v>47</v>
      </c>
      <c r="G245" s="31"/>
      <c r="I245" s="33">
        <v>44792</v>
      </c>
      <c r="J245" s="18">
        <f t="shared" si="4"/>
        <v>32214819.819819815</v>
      </c>
      <c r="K245" s="18">
        <f t="shared" si="5"/>
        <v>3543630.1801801799</v>
      </c>
      <c r="L245" s="14">
        <f>2881200+225750+32651500</f>
        <v>35758450</v>
      </c>
    </row>
    <row r="246" spans="1:12" s="26" customFormat="1" x14ac:dyDescent="0.25">
      <c r="A246" s="13">
        <v>160</v>
      </c>
      <c r="B246" s="20" t="s">
        <v>762</v>
      </c>
      <c r="C246" s="21" t="s">
        <v>763</v>
      </c>
      <c r="D246" s="30"/>
      <c r="E246" s="31" t="s">
        <v>90</v>
      </c>
      <c r="F246" s="32" t="s">
        <v>47</v>
      </c>
      <c r="G246" s="31"/>
      <c r="I246" s="33">
        <v>44792</v>
      </c>
      <c r="J246" s="18">
        <f t="shared" si="4"/>
        <v>10124459.459459459</v>
      </c>
      <c r="K246" s="18">
        <f t="shared" si="5"/>
        <v>1113690.5405405406</v>
      </c>
      <c r="L246" s="14">
        <f>3024000+6878550+1335600</f>
        <v>11238150</v>
      </c>
    </row>
    <row r="247" spans="1:12" s="26" customFormat="1" x14ac:dyDescent="0.25">
      <c r="A247" s="13">
        <v>161</v>
      </c>
      <c r="B247" s="20" t="s">
        <v>764</v>
      </c>
      <c r="C247" s="21" t="s">
        <v>765</v>
      </c>
      <c r="D247" s="30"/>
      <c r="E247" s="31" t="s">
        <v>127</v>
      </c>
      <c r="F247" s="32" t="s">
        <v>77</v>
      </c>
      <c r="G247" s="31"/>
      <c r="I247" s="33">
        <v>44792</v>
      </c>
      <c r="J247" s="18">
        <f t="shared" si="4"/>
        <v>4857657.6576576568</v>
      </c>
      <c r="K247" s="18">
        <f t="shared" si="5"/>
        <v>534342.34234234225</v>
      </c>
      <c r="L247" s="14">
        <f>1425600+3966400</f>
        <v>5392000</v>
      </c>
    </row>
    <row r="248" spans="1:12" s="26" customFormat="1" x14ac:dyDescent="0.25">
      <c r="A248" s="13">
        <v>162</v>
      </c>
      <c r="B248" s="20" t="s">
        <v>766</v>
      </c>
      <c r="C248" s="21" t="s">
        <v>767</v>
      </c>
      <c r="D248" s="30"/>
      <c r="E248" s="31" t="s">
        <v>119</v>
      </c>
      <c r="F248" s="32" t="s">
        <v>120</v>
      </c>
      <c r="G248" s="31"/>
      <c r="I248" s="33">
        <v>44792</v>
      </c>
      <c r="J248" s="18">
        <f t="shared" si="4"/>
        <v>8240135.1351351347</v>
      </c>
      <c r="K248" s="18">
        <f t="shared" si="5"/>
        <v>906414.86486486485</v>
      </c>
      <c r="L248" s="14">
        <f>2268000+2866500+4012050</f>
        <v>9146550</v>
      </c>
    </row>
    <row r="249" spans="1:12" s="26" customFormat="1" x14ac:dyDescent="0.25">
      <c r="A249" s="13">
        <v>163</v>
      </c>
      <c r="B249" s="20" t="s">
        <v>768</v>
      </c>
      <c r="C249" s="21" t="s">
        <v>769</v>
      </c>
      <c r="D249" s="30"/>
      <c r="E249" s="31" t="s">
        <v>57</v>
      </c>
      <c r="F249" s="32" t="s">
        <v>27</v>
      </c>
      <c r="G249" s="31"/>
      <c r="I249" s="33">
        <v>44792</v>
      </c>
      <c r="J249" s="18">
        <f t="shared" si="4"/>
        <v>41358648.648648642</v>
      </c>
      <c r="K249" s="18">
        <f t="shared" si="5"/>
        <v>4549451.3513513505</v>
      </c>
      <c r="L249" s="14">
        <f>2268000+43640100</f>
        <v>45908100</v>
      </c>
    </row>
    <row r="250" spans="1:12" s="26" customFormat="1" x14ac:dyDescent="0.25">
      <c r="A250" s="13">
        <v>164</v>
      </c>
      <c r="B250" s="20" t="s">
        <v>770</v>
      </c>
      <c r="C250" s="37" t="s">
        <v>771</v>
      </c>
      <c r="D250" s="13"/>
      <c r="E250" s="38" t="s">
        <v>126</v>
      </c>
      <c r="F250" s="15" t="s">
        <v>124</v>
      </c>
      <c r="G250" s="38"/>
      <c r="I250" s="17">
        <v>44793</v>
      </c>
      <c r="J250" s="18">
        <f t="shared" si="4"/>
        <v>3671216.2162162159</v>
      </c>
      <c r="K250" s="18">
        <f t="shared" si="5"/>
        <v>403833.78378378373</v>
      </c>
      <c r="L250" s="14">
        <f>288750+2998800+787500</f>
        <v>4075050</v>
      </c>
    </row>
    <row r="251" spans="1:12" s="26" customFormat="1" x14ac:dyDescent="0.25">
      <c r="A251" s="13">
        <v>165</v>
      </c>
      <c r="B251" s="20" t="s">
        <v>772</v>
      </c>
      <c r="C251" s="21" t="s">
        <v>773</v>
      </c>
      <c r="D251" s="30"/>
      <c r="E251" s="31" t="s">
        <v>138</v>
      </c>
      <c r="F251" s="32" t="s">
        <v>72</v>
      </c>
      <c r="G251" s="31"/>
      <c r="I251" s="33">
        <v>44793</v>
      </c>
      <c r="J251" s="18">
        <f t="shared" si="4"/>
        <v>2349729.7297297297</v>
      </c>
      <c r="K251" s="18">
        <f t="shared" si="5"/>
        <v>258470.27027027027</v>
      </c>
      <c r="L251" s="14">
        <v>2608200</v>
      </c>
    </row>
    <row r="252" spans="1:12" s="26" customFormat="1" x14ac:dyDescent="0.25">
      <c r="A252" s="13">
        <v>166</v>
      </c>
      <c r="B252" s="20" t="s">
        <v>774</v>
      </c>
      <c r="C252" s="21" t="s">
        <v>775</v>
      </c>
      <c r="D252" s="30"/>
      <c r="E252" s="31" t="s">
        <v>116</v>
      </c>
      <c r="F252" s="32" t="s">
        <v>47</v>
      </c>
      <c r="G252" s="31"/>
      <c r="I252" s="33">
        <v>44793</v>
      </c>
      <c r="J252" s="18">
        <f t="shared" si="4"/>
        <v>19070270.270270269</v>
      </c>
      <c r="K252" s="18">
        <f t="shared" si="5"/>
        <v>2097729.7297297297</v>
      </c>
      <c r="L252" s="14">
        <f>3843000+6648600+10676400</f>
        <v>21168000</v>
      </c>
    </row>
    <row r="253" spans="1:12" s="26" customFormat="1" x14ac:dyDescent="0.25">
      <c r="A253" s="13">
        <v>167</v>
      </c>
      <c r="B253" s="20" t="s">
        <v>776</v>
      </c>
      <c r="C253" s="21" t="s">
        <v>777</v>
      </c>
      <c r="D253" s="30"/>
      <c r="E253" s="31" t="s">
        <v>153</v>
      </c>
      <c r="F253" s="32" t="s">
        <v>154</v>
      </c>
      <c r="G253" s="31"/>
      <c r="I253" s="33">
        <v>44793</v>
      </c>
      <c r="J253" s="18">
        <f t="shared" si="4"/>
        <v>867891.89189189184</v>
      </c>
      <c r="K253" s="18">
        <f t="shared" si="5"/>
        <v>95468.108108108107</v>
      </c>
      <c r="L253" s="14">
        <v>963360</v>
      </c>
    </row>
    <row r="254" spans="1:12" s="26" customFormat="1" x14ac:dyDescent="0.25">
      <c r="A254" s="13">
        <v>168</v>
      </c>
      <c r="B254" s="20" t="s">
        <v>778</v>
      </c>
      <c r="C254" s="21" t="s">
        <v>779</v>
      </c>
      <c r="D254" s="30"/>
      <c r="E254" s="31" t="s">
        <v>109</v>
      </c>
      <c r="F254" s="32" t="s">
        <v>21</v>
      </c>
      <c r="G254" s="31"/>
      <c r="I254" s="33">
        <v>44793</v>
      </c>
      <c r="J254" s="18">
        <f t="shared" si="4"/>
        <v>38971396.396396391</v>
      </c>
      <c r="K254" s="18">
        <f t="shared" si="5"/>
        <v>4286853.6036036033</v>
      </c>
      <c r="L254" s="14">
        <f>21440650+1522500+20295100</f>
        <v>43258250</v>
      </c>
    </row>
    <row r="255" spans="1:12" s="26" customFormat="1" x14ac:dyDescent="0.25">
      <c r="A255" s="13">
        <v>169</v>
      </c>
      <c r="B255" s="20" t="s">
        <v>780</v>
      </c>
      <c r="C255" s="21" t="s">
        <v>781</v>
      </c>
      <c r="D255" s="30"/>
      <c r="E255" s="31" t="s">
        <v>123</v>
      </c>
      <c r="F255" s="32" t="s">
        <v>124</v>
      </c>
      <c r="G255" s="31"/>
      <c r="I255" s="33">
        <v>44793</v>
      </c>
      <c r="J255" s="18">
        <f t="shared" si="4"/>
        <v>5155405.405405405</v>
      </c>
      <c r="K255" s="18">
        <f t="shared" si="5"/>
        <v>567094.59459459456</v>
      </c>
      <c r="L255" s="14">
        <f>1710450+2704800+1307250</f>
        <v>5722500</v>
      </c>
    </row>
    <row r="256" spans="1:12" s="26" customFormat="1" x14ac:dyDescent="0.25">
      <c r="A256" s="13">
        <v>170</v>
      </c>
      <c r="B256" s="20" t="s">
        <v>782</v>
      </c>
      <c r="C256" s="21" t="s">
        <v>783</v>
      </c>
      <c r="D256" s="30"/>
      <c r="E256" s="31" t="s">
        <v>784</v>
      </c>
      <c r="F256" s="32" t="s">
        <v>75</v>
      </c>
      <c r="G256" s="31"/>
      <c r="I256" s="33">
        <v>44793</v>
      </c>
      <c r="J256" s="18">
        <f t="shared" si="4"/>
        <v>1413729.7297297297</v>
      </c>
      <c r="K256" s="18">
        <f t="shared" si="5"/>
        <v>155510.27027027027</v>
      </c>
      <c r="L256" s="14">
        <v>1569240</v>
      </c>
    </row>
    <row r="257" spans="1:12" s="26" customFormat="1" x14ac:dyDescent="0.25">
      <c r="A257" s="13">
        <v>171</v>
      </c>
      <c r="B257" s="20" t="s">
        <v>785</v>
      </c>
      <c r="C257" s="21" t="s">
        <v>786</v>
      </c>
      <c r="D257" s="30"/>
      <c r="E257" s="31" t="s">
        <v>787</v>
      </c>
      <c r="F257" s="32" t="s">
        <v>154</v>
      </c>
      <c r="G257" s="31"/>
      <c r="I257" s="33">
        <v>44793</v>
      </c>
      <c r="J257" s="18">
        <f t="shared" si="4"/>
        <v>131351.35135135133</v>
      </c>
      <c r="K257" s="18">
        <f t="shared" si="5"/>
        <v>14448.648648648646</v>
      </c>
      <c r="L257" s="14">
        <v>145800</v>
      </c>
    </row>
    <row r="258" spans="1:12" s="26" customFormat="1" x14ac:dyDescent="0.25">
      <c r="A258" s="13">
        <v>172</v>
      </c>
      <c r="B258" s="20" t="s">
        <v>788</v>
      </c>
      <c r="C258" s="21" t="s">
        <v>789</v>
      </c>
      <c r="D258" s="30"/>
      <c r="E258" s="31" t="s">
        <v>790</v>
      </c>
      <c r="F258" s="32" t="s">
        <v>791</v>
      </c>
      <c r="G258" s="31"/>
      <c r="I258" s="33">
        <v>44793</v>
      </c>
      <c r="J258" s="18">
        <f t="shared" si="4"/>
        <v>660405.40540540533</v>
      </c>
      <c r="K258" s="18">
        <f t="shared" si="5"/>
        <v>72644.594594594586</v>
      </c>
      <c r="L258" s="14">
        <v>733050</v>
      </c>
    </row>
    <row r="259" spans="1:12" s="26" customFormat="1" x14ac:dyDescent="0.25">
      <c r="A259" s="13">
        <v>173</v>
      </c>
      <c r="B259" s="20" t="s">
        <v>792</v>
      </c>
      <c r="C259" s="21" t="s">
        <v>793</v>
      </c>
      <c r="D259" s="30"/>
      <c r="E259" s="31" t="s">
        <v>160</v>
      </c>
      <c r="F259" s="32" t="s">
        <v>152</v>
      </c>
      <c r="G259" s="31"/>
      <c r="I259" s="33">
        <v>44795</v>
      </c>
      <c r="J259" s="18">
        <f t="shared" si="4"/>
        <v>22413459.459459458</v>
      </c>
      <c r="K259" s="18">
        <f t="shared" si="5"/>
        <v>2465480.5405405401</v>
      </c>
      <c r="L259" s="14">
        <f>21535260+3343680</f>
        <v>24878940</v>
      </c>
    </row>
    <row r="260" spans="1:12" s="26" customFormat="1" x14ac:dyDescent="0.25">
      <c r="A260" s="13">
        <v>174</v>
      </c>
      <c r="B260" s="20" t="s">
        <v>794</v>
      </c>
      <c r="C260" s="37" t="s">
        <v>795</v>
      </c>
      <c r="D260" s="13"/>
      <c r="E260" s="38" t="s">
        <v>60</v>
      </c>
      <c r="F260" s="15" t="s">
        <v>61</v>
      </c>
      <c r="G260" s="38"/>
      <c r="I260" s="17">
        <v>44795</v>
      </c>
      <c r="J260" s="18">
        <f t="shared" si="4"/>
        <v>9355135.1351351347</v>
      </c>
      <c r="K260" s="18">
        <f t="shared" si="5"/>
        <v>1029064.8648648649</v>
      </c>
      <c r="L260" s="14">
        <f>2608200+7776000</f>
        <v>10384200</v>
      </c>
    </row>
    <row r="261" spans="1:12" s="26" customFormat="1" x14ac:dyDescent="0.25">
      <c r="A261" s="13">
        <v>175</v>
      </c>
      <c r="B261" s="20" t="s">
        <v>796</v>
      </c>
      <c r="C261" s="21" t="s">
        <v>797</v>
      </c>
      <c r="D261" s="30"/>
      <c r="E261" s="31" t="s">
        <v>798</v>
      </c>
      <c r="F261" s="32" t="s">
        <v>154</v>
      </c>
      <c r="G261" s="31"/>
      <c r="I261" s="33">
        <v>44795</v>
      </c>
      <c r="J261" s="18">
        <f t="shared" si="4"/>
        <v>706216.2162162161</v>
      </c>
      <c r="K261" s="18">
        <f t="shared" si="5"/>
        <v>77683.783783783772</v>
      </c>
      <c r="L261" s="14">
        <v>783900</v>
      </c>
    </row>
    <row r="262" spans="1:12" s="26" customFormat="1" x14ac:dyDescent="0.25">
      <c r="A262" s="13">
        <v>176</v>
      </c>
      <c r="B262" s="20" t="s">
        <v>799</v>
      </c>
      <c r="C262" s="21" t="s">
        <v>800</v>
      </c>
      <c r="D262" s="30"/>
      <c r="E262" s="31" t="s">
        <v>104</v>
      </c>
      <c r="F262" s="32" t="s">
        <v>47</v>
      </c>
      <c r="G262" s="31"/>
      <c r="I262" s="33">
        <v>44795</v>
      </c>
      <c r="J262" s="18">
        <f t="shared" si="4"/>
        <v>32364717.117117114</v>
      </c>
      <c r="K262" s="18">
        <f t="shared" si="5"/>
        <v>3560118.8828828824</v>
      </c>
      <c r="L262" s="14">
        <f>2823100+25985400+7116336</f>
        <v>35924836</v>
      </c>
    </row>
    <row r="263" spans="1:12" s="26" customFormat="1" x14ac:dyDescent="0.25">
      <c r="A263" s="13">
        <v>177</v>
      </c>
      <c r="B263" s="20" t="s">
        <v>801</v>
      </c>
      <c r="C263" s="21" t="s">
        <v>802</v>
      </c>
      <c r="D263" s="30"/>
      <c r="E263" s="31" t="s">
        <v>46</v>
      </c>
      <c r="F263" s="32" t="s">
        <v>47</v>
      </c>
      <c r="G263" s="31"/>
      <c r="I263" s="33">
        <v>44795</v>
      </c>
      <c r="J263" s="18">
        <f t="shared" si="4"/>
        <v>18273783.783783782</v>
      </c>
      <c r="K263" s="18">
        <f t="shared" si="5"/>
        <v>2010116.2162162161</v>
      </c>
      <c r="L263" s="14">
        <f>2389800+4844700+13049400</f>
        <v>20283900</v>
      </c>
    </row>
    <row r="264" spans="1:12" s="26" customFormat="1" x14ac:dyDescent="0.25">
      <c r="A264" s="13">
        <v>178</v>
      </c>
      <c r="B264" s="20" t="s">
        <v>803</v>
      </c>
      <c r="C264" s="21" t="s">
        <v>804</v>
      </c>
      <c r="D264" s="30"/>
      <c r="E264" s="31" t="s">
        <v>53</v>
      </c>
      <c r="F264" s="32" t="s">
        <v>98</v>
      </c>
      <c r="G264" s="31"/>
      <c r="I264" s="33">
        <v>44795</v>
      </c>
      <c r="J264" s="18">
        <f t="shared" si="4"/>
        <v>10103654.054054054</v>
      </c>
      <c r="K264" s="18">
        <f t="shared" si="5"/>
        <v>1111401.9459459458</v>
      </c>
      <c r="L264" s="14">
        <f>410400+7442400+3362256</f>
        <v>11215056</v>
      </c>
    </row>
    <row r="265" spans="1:12" s="26" customFormat="1" x14ac:dyDescent="0.25">
      <c r="A265" s="13">
        <v>179</v>
      </c>
      <c r="B265" s="20" t="s">
        <v>805</v>
      </c>
      <c r="C265" s="21" t="s">
        <v>806</v>
      </c>
      <c r="D265" s="30"/>
      <c r="E265" s="31" t="s">
        <v>807</v>
      </c>
      <c r="F265" s="32" t="s">
        <v>75</v>
      </c>
      <c r="G265" s="31"/>
      <c r="I265" s="33">
        <v>44795</v>
      </c>
      <c r="J265" s="18">
        <f t="shared" si="4"/>
        <v>100135.13513513513</v>
      </c>
      <c r="K265" s="18">
        <f t="shared" si="5"/>
        <v>11014.864864864865</v>
      </c>
      <c r="L265" s="14">
        <v>111150</v>
      </c>
    </row>
    <row r="266" spans="1:12" s="26" customFormat="1" x14ac:dyDescent="0.25">
      <c r="A266" s="13">
        <v>180</v>
      </c>
      <c r="B266" s="20" t="s">
        <v>808</v>
      </c>
      <c r="C266" s="21" t="s">
        <v>809</v>
      </c>
      <c r="D266" s="30"/>
      <c r="E266" s="31" t="s">
        <v>148</v>
      </c>
      <c r="F266" s="32" t="s">
        <v>149</v>
      </c>
      <c r="G266" s="31"/>
      <c r="I266" s="33">
        <v>44796</v>
      </c>
      <c r="J266" s="18">
        <f t="shared" si="4"/>
        <v>2349729.7297297297</v>
      </c>
      <c r="K266" s="18">
        <f t="shared" si="5"/>
        <v>258470.27027027027</v>
      </c>
      <c r="L266" s="14">
        <v>2608200</v>
      </c>
    </row>
    <row r="267" spans="1:12" s="26" customFormat="1" x14ac:dyDescent="0.25">
      <c r="A267" s="13">
        <v>181</v>
      </c>
      <c r="B267" s="20" t="s">
        <v>810</v>
      </c>
      <c r="C267" s="21" t="s">
        <v>811</v>
      </c>
      <c r="D267" s="30"/>
      <c r="E267" s="31" t="s">
        <v>111</v>
      </c>
      <c r="F267" s="32" t="s">
        <v>112</v>
      </c>
      <c r="G267" s="31"/>
      <c r="I267" s="33">
        <v>44796</v>
      </c>
      <c r="J267" s="18">
        <f t="shared" ref="J267:J321" si="6">L267/1.11</f>
        <v>1237621.6216216215</v>
      </c>
      <c r="K267" s="18">
        <f t="shared" ref="K267:K321" si="7">J267*11%</f>
        <v>136138.37837837837</v>
      </c>
      <c r="L267" s="14">
        <v>1373760</v>
      </c>
    </row>
    <row r="268" spans="1:12" s="26" customFormat="1" x14ac:dyDescent="0.25">
      <c r="A268" s="13">
        <v>182</v>
      </c>
      <c r="B268" s="20" t="s">
        <v>812</v>
      </c>
      <c r="C268" s="21" t="s">
        <v>813</v>
      </c>
      <c r="D268" s="30"/>
      <c r="E268" s="31" t="s">
        <v>814</v>
      </c>
      <c r="F268" s="32" t="s">
        <v>133</v>
      </c>
      <c r="G268" s="31"/>
      <c r="I268" s="33">
        <v>44796</v>
      </c>
      <c r="J268" s="18">
        <f t="shared" si="6"/>
        <v>723099.09909909905</v>
      </c>
      <c r="K268" s="18">
        <f t="shared" si="7"/>
        <v>79540.900900900902</v>
      </c>
      <c r="L268" s="14">
        <v>802640</v>
      </c>
    </row>
    <row r="269" spans="1:12" s="26" customFormat="1" x14ac:dyDescent="0.25">
      <c r="A269" s="13">
        <v>183</v>
      </c>
      <c r="B269" s="20" t="s">
        <v>815</v>
      </c>
      <c r="C269" s="21" t="s">
        <v>816</v>
      </c>
      <c r="D269" s="30"/>
      <c r="E269" s="31" t="s">
        <v>52</v>
      </c>
      <c r="F269" s="32" t="s">
        <v>35</v>
      </c>
      <c r="G269" s="31"/>
      <c r="I269" s="33">
        <v>44796</v>
      </c>
      <c r="J269" s="18">
        <f t="shared" si="6"/>
        <v>12389578.378378376</v>
      </c>
      <c r="K269" s="18">
        <f t="shared" si="7"/>
        <v>1362853.6216216213</v>
      </c>
      <c r="L269" s="14">
        <f>1496400+5531520+6724512</f>
        <v>13752432</v>
      </c>
    </row>
    <row r="270" spans="1:12" s="26" customFormat="1" x14ac:dyDescent="0.25">
      <c r="A270" s="13">
        <v>184</v>
      </c>
      <c r="B270" s="20" t="s">
        <v>817</v>
      </c>
      <c r="C270" s="37" t="s">
        <v>818</v>
      </c>
      <c r="D270" s="13"/>
      <c r="E270" s="38" t="s">
        <v>71</v>
      </c>
      <c r="F270" s="15" t="s">
        <v>72</v>
      </c>
      <c r="G270" s="38"/>
      <c r="I270" s="17">
        <v>44796</v>
      </c>
      <c r="J270" s="18">
        <f t="shared" si="6"/>
        <v>10328324.324324323</v>
      </c>
      <c r="K270" s="18">
        <f t="shared" si="7"/>
        <v>1136115.6756756755</v>
      </c>
      <c r="L270" s="14">
        <f>3847500+1913400+5703540</f>
        <v>11464440</v>
      </c>
    </row>
    <row r="271" spans="1:12" s="26" customFormat="1" x14ac:dyDescent="0.25">
      <c r="A271" s="13">
        <v>185</v>
      </c>
      <c r="B271" s="20" t="s">
        <v>819</v>
      </c>
      <c r="C271" s="21" t="s">
        <v>820</v>
      </c>
      <c r="D271" s="30"/>
      <c r="E271" s="31" t="s">
        <v>150</v>
      </c>
      <c r="F271" s="32" t="s">
        <v>151</v>
      </c>
      <c r="G271" s="31"/>
      <c r="I271" s="33">
        <v>44796</v>
      </c>
      <c r="J271" s="18">
        <f t="shared" si="6"/>
        <v>1256108.1081081079</v>
      </c>
      <c r="K271" s="18">
        <f t="shared" si="7"/>
        <v>138171.89189189186</v>
      </c>
      <c r="L271" s="14">
        <v>1394280</v>
      </c>
    </row>
    <row r="272" spans="1:12" s="26" customFormat="1" x14ac:dyDescent="0.25">
      <c r="A272" s="13">
        <v>186</v>
      </c>
      <c r="B272" s="20" t="s">
        <v>821</v>
      </c>
      <c r="C272" s="21" t="s">
        <v>822</v>
      </c>
      <c r="D272" s="30"/>
      <c r="E272" s="31" t="s">
        <v>140</v>
      </c>
      <c r="F272" s="32" t="s">
        <v>114</v>
      </c>
      <c r="G272" s="31"/>
      <c r="I272" s="33">
        <v>44797</v>
      </c>
      <c r="J272" s="18">
        <f t="shared" si="6"/>
        <v>3081891.8918918916</v>
      </c>
      <c r="K272" s="18">
        <f t="shared" si="7"/>
        <v>339008.10810810811</v>
      </c>
      <c r="L272" s="14">
        <v>3420900</v>
      </c>
    </row>
    <row r="273" spans="1:12" s="26" customFormat="1" x14ac:dyDescent="0.25">
      <c r="A273" s="13">
        <v>187</v>
      </c>
      <c r="B273" s="20" t="s">
        <v>823</v>
      </c>
      <c r="C273" s="21" t="s">
        <v>824</v>
      </c>
      <c r="D273" s="30"/>
      <c r="E273" s="31" t="s">
        <v>130</v>
      </c>
      <c r="F273" s="32" t="s">
        <v>87</v>
      </c>
      <c r="G273" s="31"/>
      <c r="I273" s="33">
        <v>44797</v>
      </c>
      <c r="J273" s="18">
        <f t="shared" si="6"/>
        <v>28500324.324324321</v>
      </c>
      <c r="K273" s="18">
        <f t="shared" si="7"/>
        <v>3135035.6756756753</v>
      </c>
      <c r="L273" s="14">
        <f>7205760+14657760+9771840</f>
        <v>31635360</v>
      </c>
    </row>
    <row r="274" spans="1:12" s="26" customFormat="1" x14ac:dyDescent="0.25">
      <c r="A274" s="13">
        <v>188</v>
      </c>
      <c r="B274" s="20" t="s">
        <v>825</v>
      </c>
      <c r="C274" s="21" t="s">
        <v>826</v>
      </c>
      <c r="D274" s="30"/>
      <c r="E274" s="31" t="s">
        <v>102</v>
      </c>
      <c r="F274" s="32" t="s">
        <v>103</v>
      </c>
      <c r="G274" s="31"/>
      <c r="I274" s="33">
        <v>44797</v>
      </c>
      <c r="J274" s="18">
        <f t="shared" si="6"/>
        <v>7367837.8378378376</v>
      </c>
      <c r="K274" s="18">
        <f t="shared" si="7"/>
        <v>810462.16216216213</v>
      </c>
      <c r="L274" s="14">
        <f>1738800+6439500</f>
        <v>8178300</v>
      </c>
    </row>
    <row r="275" spans="1:12" s="26" customFormat="1" x14ac:dyDescent="0.25">
      <c r="A275" s="13">
        <v>189</v>
      </c>
      <c r="B275" s="20" t="s">
        <v>827</v>
      </c>
      <c r="C275" s="21" t="s">
        <v>828</v>
      </c>
      <c r="D275" s="30"/>
      <c r="E275" s="31" t="s">
        <v>76</v>
      </c>
      <c r="F275" s="32" t="s">
        <v>77</v>
      </c>
      <c r="G275" s="31"/>
      <c r="I275" s="33">
        <v>44797</v>
      </c>
      <c r="J275" s="18">
        <f t="shared" si="6"/>
        <v>8038486.4864864862</v>
      </c>
      <c r="K275" s="18">
        <f t="shared" si="7"/>
        <v>884233.51351351349</v>
      </c>
      <c r="L275" s="14">
        <f>2656800+297000+5968920</f>
        <v>8922720</v>
      </c>
    </row>
    <row r="276" spans="1:12" s="26" customFormat="1" x14ac:dyDescent="0.25">
      <c r="A276" s="13">
        <v>190</v>
      </c>
      <c r="B276" s="20" t="s">
        <v>829</v>
      </c>
      <c r="C276" s="21" t="s">
        <v>830</v>
      </c>
      <c r="D276" s="30"/>
      <c r="E276" s="31" t="s">
        <v>53</v>
      </c>
      <c r="F276" s="32" t="s">
        <v>30</v>
      </c>
      <c r="G276" s="31"/>
      <c r="I276" s="33">
        <v>44797</v>
      </c>
      <c r="J276" s="18">
        <f t="shared" si="6"/>
        <v>54198918.918918915</v>
      </c>
      <c r="K276" s="18">
        <f t="shared" si="7"/>
        <v>5961881.0810810803</v>
      </c>
      <c r="L276" s="14">
        <f>22239000+2410800+35511000</f>
        <v>60160800</v>
      </c>
    </row>
    <row r="277" spans="1:12" s="26" customFormat="1" x14ac:dyDescent="0.25">
      <c r="A277" s="13">
        <v>191</v>
      </c>
      <c r="B277" s="20" t="s">
        <v>831</v>
      </c>
      <c r="C277" s="21" t="s">
        <v>832</v>
      </c>
      <c r="D277" s="30"/>
      <c r="E277" s="31" t="s">
        <v>141</v>
      </c>
      <c r="F277" s="32" t="s">
        <v>87</v>
      </c>
      <c r="G277" s="31"/>
      <c r="I277" s="33">
        <v>44798</v>
      </c>
      <c r="J277" s="18">
        <f t="shared" si="6"/>
        <v>8110810.81081081</v>
      </c>
      <c r="K277" s="18">
        <f t="shared" si="7"/>
        <v>892189.18918918911</v>
      </c>
      <c r="L277" s="14">
        <f>5876400+1681560+1445040</f>
        <v>9003000</v>
      </c>
    </row>
    <row r="278" spans="1:12" s="26" customFormat="1" x14ac:dyDescent="0.25">
      <c r="A278" s="13">
        <v>192</v>
      </c>
      <c r="B278" s="20" t="s">
        <v>833</v>
      </c>
      <c r="C278" s="21" t="s">
        <v>834</v>
      </c>
      <c r="D278" s="30"/>
      <c r="E278" s="31" t="s">
        <v>835</v>
      </c>
      <c r="F278" s="32" t="s">
        <v>133</v>
      </c>
      <c r="G278" s="31"/>
      <c r="I278" s="33">
        <v>44798</v>
      </c>
      <c r="J278" s="18">
        <f t="shared" si="6"/>
        <v>1945945.9459459458</v>
      </c>
      <c r="K278" s="18">
        <f t="shared" si="7"/>
        <v>214054.05405405405</v>
      </c>
      <c r="L278" s="14">
        <v>2160000</v>
      </c>
    </row>
    <row r="279" spans="1:12" s="26" customFormat="1" x14ac:dyDescent="0.25">
      <c r="A279" s="13">
        <v>193</v>
      </c>
      <c r="B279" s="20" t="s">
        <v>836</v>
      </c>
      <c r="C279" s="21" t="s">
        <v>837</v>
      </c>
      <c r="D279" s="30"/>
      <c r="E279" s="31" t="s">
        <v>838</v>
      </c>
      <c r="F279" s="32" t="s">
        <v>133</v>
      </c>
      <c r="G279" s="31"/>
      <c r="I279" s="33">
        <v>44798</v>
      </c>
      <c r="J279" s="18">
        <f t="shared" si="6"/>
        <v>5574459.4594594594</v>
      </c>
      <c r="K279" s="18">
        <f t="shared" si="7"/>
        <v>613190.54054054059</v>
      </c>
      <c r="L279" s="14">
        <v>6187650</v>
      </c>
    </row>
    <row r="280" spans="1:12" s="26" customFormat="1" x14ac:dyDescent="0.25">
      <c r="A280" s="13">
        <v>194</v>
      </c>
      <c r="B280" s="20" t="s">
        <v>839</v>
      </c>
      <c r="C280" s="37" t="s">
        <v>840</v>
      </c>
      <c r="D280" s="13"/>
      <c r="E280" s="38" t="s">
        <v>147</v>
      </c>
      <c r="F280" s="15" t="s">
        <v>54</v>
      </c>
      <c r="G280" s="38"/>
      <c r="I280" s="17">
        <v>44798</v>
      </c>
      <c r="J280" s="18">
        <f t="shared" si="6"/>
        <v>603243.2432432432</v>
      </c>
      <c r="K280" s="18">
        <f t="shared" si="7"/>
        <v>66356.756756756746</v>
      </c>
      <c r="L280" s="14">
        <v>669600</v>
      </c>
    </row>
    <row r="281" spans="1:12" s="26" customFormat="1" x14ac:dyDescent="0.25">
      <c r="A281" s="13">
        <v>195</v>
      </c>
      <c r="B281" s="20" t="s">
        <v>841</v>
      </c>
      <c r="C281" s="21" t="s">
        <v>842</v>
      </c>
      <c r="D281" s="30"/>
      <c r="E281" s="31" t="s">
        <v>843</v>
      </c>
      <c r="F281" s="32" t="s">
        <v>133</v>
      </c>
      <c r="G281" s="31"/>
      <c r="I281" s="33">
        <v>44798</v>
      </c>
      <c r="J281" s="18">
        <f t="shared" si="6"/>
        <v>1351351.3513513512</v>
      </c>
      <c r="K281" s="18">
        <f t="shared" si="7"/>
        <v>148648.64864864864</v>
      </c>
      <c r="L281" s="14">
        <v>1500000</v>
      </c>
    </row>
    <row r="282" spans="1:12" s="26" customFormat="1" x14ac:dyDescent="0.25">
      <c r="A282" s="13">
        <v>196</v>
      </c>
      <c r="B282" s="20" t="s">
        <v>844</v>
      </c>
      <c r="C282" s="21" t="s">
        <v>845</v>
      </c>
      <c r="D282" s="30"/>
      <c r="E282" s="31" t="s">
        <v>104</v>
      </c>
      <c r="F282" s="32" t="s">
        <v>47</v>
      </c>
      <c r="G282" s="31"/>
      <c r="I282" s="33">
        <v>44798</v>
      </c>
      <c r="J282" s="18">
        <f t="shared" si="6"/>
        <v>29234774.774774771</v>
      </c>
      <c r="K282" s="18">
        <f t="shared" si="7"/>
        <v>3215825.2252252246</v>
      </c>
      <c r="L282" s="14">
        <f>19334000+13116600</f>
        <v>32450600</v>
      </c>
    </row>
    <row r="283" spans="1:12" s="26" customFormat="1" x14ac:dyDescent="0.25">
      <c r="A283" s="13">
        <v>197</v>
      </c>
      <c r="B283" s="20" t="s">
        <v>846</v>
      </c>
      <c r="C283" s="21" t="s">
        <v>847</v>
      </c>
      <c r="D283" s="30"/>
      <c r="E283" s="31" t="s">
        <v>105</v>
      </c>
      <c r="F283" s="32" t="s">
        <v>47</v>
      </c>
      <c r="G283" s="31"/>
      <c r="I283" s="33">
        <v>44799</v>
      </c>
      <c r="J283" s="18">
        <f t="shared" si="6"/>
        <v>13281081.081081079</v>
      </c>
      <c r="K283" s="18">
        <f t="shared" si="7"/>
        <v>1460918.9189189188</v>
      </c>
      <c r="L283" s="14">
        <v>14742000</v>
      </c>
    </row>
    <row r="284" spans="1:12" s="26" customFormat="1" x14ac:dyDescent="0.25">
      <c r="A284" s="13">
        <v>198</v>
      </c>
      <c r="B284" s="20" t="s">
        <v>848</v>
      </c>
      <c r="C284" s="21" t="s">
        <v>849</v>
      </c>
      <c r="D284" s="30"/>
      <c r="E284" s="31" t="s">
        <v>850</v>
      </c>
      <c r="F284" s="32" t="s">
        <v>115</v>
      </c>
      <c r="G284" s="31"/>
      <c r="I284" s="33">
        <v>44799</v>
      </c>
      <c r="J284" s="18">
        <f t="shared" si="6"/>
        <v>65675.675675675666</v>
      </c>
      <c r="K284" s="18">
        <f t="shared" si="7"/>
        <v>7224.3243243243232</v>
      </c>
      <c r="L284" s="14">
        <v>72900</v>
      </c>
    </row>
    <row r="285" spans="1:12" s="26" customFormat="1" x14ac:dyDescent="0.25">
      <c r="A285" s="13">
        <v>199</v>
      </c>
      <c r="B285" s="20" t="s">
        <v>851</v>
      </c>
      <c r="C285" s="21" t="s">
        <v>852</v>
      </c>
      <c r="D285" s="30"/>
      <c r="E285" s="31" t="s">
        <v>93</v>
      </c>
      <c r="F285" s="32" t="s">
        <v>74</v>
      </c>
      <c r="G285" s="31"/>
      <c r="I285" s="33">
        <v>44804</v>
      </c>
      <c r="J285" s="18">
        <f t="shared" si="6"/>
        <v>3758594.5945945941</v>
      </c>
      <c r="K285" s="18">
        <f t="shared" si="7"/>
        <v>413445.40540540533</v>
      </c>
      <c r="L285" s="14">
        <v>4172040</v>
      </c>
    </row>
    <row r="286" spans="1:12" s="26" customFormat="1" x14ac:dyDescent="0.25">
      <c r="A286" s="13">
        <v>200</v>
      </c>
      <c r="B286" s="20" t="s">
        <v>853</v>
      </c>
      <c r="C286" s="21" t="s">
        <v>854</v>
      </c>
      <c r="D286" s="30"/>
      <c r="E286" s="31" t="s">
        <v>53</v>
      </c>
      <c r="F286" s="32" t="s">
        <v>54</v>
      </c>
      <c r="G286" s="31"/>
      <c r="I286" s="33">
        <v>44800</v>
      </c>
      <c r="J286" s="18">
        <f t="shared" si="6"/>
        <v>8407083.7837837823</v>
      </c>
      <c r="K286" s="18">
        <f t="shared" si="7"/>
        <v>924779.2162162161</v>
      </c>
      <c r="L286" s="14">
        <f>5281863+4050000</f>
        <v>9331863</v>
      </c>
    </row>
    <row r="287" spans="1:12" s="26" customFormat="1" x14ac:dyDescent="0.25">
      <c r="A287" s="13">
        <v>201</v>
      </c>
      <c r="B287" s="20" t="s">
        <v>855</v>
      </c>
      <c r="C287" s="21" t="s">
        <v>856</v>
      </c>
      <c r="D287" s="30"/>
      <c r="E287" s="31" t="s">
        <v>106</v>
      </c>
      <c r="F287" s="32" t="s">
        <v>74</v>
      </c>
      <c r="G287" s="31"/>
      <c r="I287" s="33">
        <v>44802</v>
      </c>
      <c r="J287" s="18">
        <f t="shared" si="6"/>
        <v>3552497.297297297</v>
      </c>
      <c r="K287" s="18">
        <f t="shared" si="7"/>
        <v>390774.70270270266</v>
      </c>
      <c r="L287" s="14">
        <v>3943272</v>
      </c>
    </row>
    <row r="288" spans="1:12" s="26" customFormat="1" x14ac:dyDescent="0.25">
      <c r="A288" s="13">
        <v>202</v>
      </c>
      <c r="B288" s="20" t="s">
        <v>857</v>
      </c>
      <c r="C288" s="21" t="s">
        <v>858</v>
      </c>
      <c r="D288" s="30"/>
      <c r="E288" s="31" t="s">
        <v>100</v>
      </c>
      <c r="F288" s="32" t="s">
        <v>74</v>
      </c>
      <c r="G288" s="31"/>
      <c r="I288" s="33">
        <v>44802</v>
      </c>
      <c r="J288" s="18">
        <f t="shared" si="6"/>
        <v>3081891.8918918916</v>
      </c>
      <c r="K288" s="18">
        <f t="shared" si="7"/>
        <v>339008.10810810811</v>
      </c>
      <c r="L288" s="14">
        <v>3420900</v>
      </c>
    </row>
    <row r="289" spans="1:12" s="26" customFormat="1" x14ac:dyDescent="0.25">
      <c r="A289" s="13">
        <v>203</v>
      </c>
      <c r="B289" s="20" t="s">
        <v>859</v>
      </c>
      <c r="C289" s="21" t="s">
        <v>860</v>
      </c>
      <c r="D289" s="30"/>
      <c r="E289" s="31" t="s">
        <v>861</v>
      </c>
      <c r="F289" s="32" t="s">
        <v>35</v>
      </c>
      <c r="G289" s="31"/>
      <c r="I289" s="33">
        <v>44802</v>
      </c>
      <c r="J289" s="18">
        <f t="shared" si="6"/>
        <v>755999.99999999988</v>
      </c>
      <c r="K289" s="18">
        <f t="shared" si="7"/>
        <v>83159.999999999985</v>
      </c>
      <c r="L289" s="14">
        <v>839160</v>
      </c>
    </row>
    <row r="290" spans="1:12" s="26" customFormat="1" x14ac:dyDescent="0.25">
      <c r="A290" s="13">
        <v>204</v>
      </c>
      <c r="B290" s="20" t="s">
        <v>862</v>
      </c>
      <c r="C290" s="37" t="s">
        <v>863</v>
      </c>
      <c r="D290" s="13"/>
      <c r="E290" s="38" t="s">
        <v>81</v>
      </c>
      <c r="F290" s="15" t="s">
        <v>82</v>
      </c>
      <c r="G290" s="38"/>
      <c r="I290" s="17">
        <v>44802</v>
      </c>
      <c r="J290" s="18">
        <f t="shared" si="6"/>
        <v>6947027.0270270268</v>
      </c>
      <c r="K290" s="18">
        <f t="shared" si="7"/>
        <v>764172.9729729729</v>
      </c>
      <c r="L290" s="14">
        <f>5054400+2656800</f>
        <v>7711200</v>
      </c>
    </row>
    <row r="291" spans="1:12" s="26" customFormat="1" x14ac:dyDescent="0.25">
      <c r="A291" s="13">
        <v>205</v>
      </c>
      <c r="B291" s="20" t="s">
        <v>864</v>
      </c>
      <c r="C291" s="21" t="s">
        <v>865</v>
      </c>
      <c r="D291" s="30"/>
      <c r="E291" s="31" t="s">
        <v>73</v>
      </c>
      <c r="F291" s="32" t="s">
        <v>74</v>
      </c>
      <c r="G291" s="31"/>
      <c r="I291" s="33">
        <v>44804</v>
      </c>
      <c r="J291" s="18">
        <f t="shared" si="6"/>
        <v>4737873.8738738736</v>
      </c>
      <c r="K291" s="18">
        <f t="shared" si="7"/>
        <v>521166.1261261261</v>
      </c>
      <c r="L291" s="14">
        <v>5259040</v>
      </c>
    </row>
    <row r="292" spans="1:12" s="26" customFormat="1" x14ac:dyDescent="0.25">
      <c r="A292" s="13">
        <v>206</v>
      </c>
      <c r="B292" s="20" t="s">
        <v>866</v>
      </c>
      <c r="C292" s="21" t="s">
        <v>867</v>
      </c>
      <c r="D292" s="30"/>
      <c r="E292" s="31" t="s">
        <v>868</v>
      </c>
      <c r="F292" s="32" t="s">
        <v>869</v>
      </c>
      <c r="G292" s="31"/>
      <c r="I292" s="33">
        <v>44804</v>
      </c>
      <c r="J292" s="18">
        <f t="shared" si="6"/>
        <v>316216.21621621621</v>
      </c>
      <c r="K292" s="18">
        <f t="shared" si="7"/>
        <v>34783.783783783787</v>
      </c>
      <c r="L292" s="14">
        <v>351000</v>
      </c>
    </row>
    <row r="293" spans="1:12" s="26" customFormat="1" x14ac:dyDescent="0.25">
      <c r="A293" s="13">
        <v>207</v>
      </c>
      <c r="B293" s="20" t="s">
        <v>870</v>
      </c>
      <c r="C293" s="21" t="s">
        <v>871</v>
      </c>
      <c r="D293" s="30"/>
      <c r="E293" s="31" t="s">
        <v>52</v>
      </c>
      <c r="F293" s="32" t="s">
        <v>35</v>
      </c>
      <c r="G293" s="31"/>
      <c r="I293" s="33">
        <v>44803</v>
      </c>
      <c r="J293" s="18">
        <f t="shared" si="6"/>
        <v>29196302.702702701</v>
      </c>
      <c r="K293" s="18">
        <f t="shared" si="7"/>
        <v>3211593.297297297</v>
      </c>
      <c r="L293" s="14">
        <f>20209656+9659520+2538720</f>
        <v>32407896</v>
      </c>
    </row>
    <row r="294" spans="1:12" s="26" customFormat="1" x14ac:dyDescent="0.25">
      <c r="A294" s="13">
        <v>208</v>
      </c>
      <c r="B294" s="20" t="s">
        <v>872</v>
      </c>
      <c r="C294" s="21" t="s">
        <v>873</v>
      </c>
      <c r="D294" s="30"/>
      <c r="E294" s="31" t="s">
        <v>85</v>
      </c>
      <c r="F294" s="32" t="s">
        <v>84</v>
      </c>
      <c r="G294" s="31"/>
      <c r="I294" s="33">
        <v>44803</v>
      </c>
      <c r="J294" s="18">
        <f t="shared" si="6"/>
        <v>7100270.2702702694</v>
      </c>
      <c r="K294" s="18">
        <f t="shared" si="7"/>
        <v>781029.72972972959</v>
      </c>
      <c r="L294" s="14">
        <f>4914000+2967300</f>
        <v>7881300</v>
      </c>
    </row>
    <row r="295" spans="1:12" s="26" customFormat="1" x14ac:dyDescent="0.25">
      <c r="A295" s="13">
        <v>209</v>
      </c>
      <c r="B295" s="20" t="s">
        <v>874</v>
      </c>
      <c r="C295" s="21" t="s">
        <v>875</v>
      </c>
      <c r="D295" s="30"/>
      <c r="E295" s="31" t="s">
        <v>876</v>
      </c>
      <c r="F295" s="32" t="s">
        <v>149</v>
      </c>
      <c r="G295" s="31"/>
      <c r="I295" s="33">
        <v>44804</v>
      </c>
      <c r="J295" s="18">
        <f t="shared" si="6"/>
        <v>270270.27027027024</v>
      </c>
      <c r="K295" s="18">
        <f t="shared" si="7"/>
        <v>29729.729729729726</v>
      </c>
      <c r="L295" s="14">
        <v>300000</v>
      </c>
    </row>
    <row r="296" spans="1:12" s="26" customFormat="1" x14ac:dyDescent="0.25">
      <c r="A296" s="13">
        <v>210</v>
      </c>
      <c r="B296" s="20" t="s">
        <v>877</v>
      </c>
      <c r="C296" s="21" t="s">
        <v>878</v>
      </c>
      <c r="D296" s="30"/>
      <c r="E296" s="31" t="s">
        <v>879</v>
      </c>
      <c r="F296" s="32" t="s">
        <v>545</v>
      </c>
      <c r="G296" s="31"/>
      <c r="I296" s="33">
        <v>44804</v>
      </c>
      <c r="J296" s="18">
        <f t="shared" si="6"/>
        <v>3798486.4864864862</v>
      </c>
      <c r="K296" s="18">
        <f t="shared" si="7"/>
        <v>417833.51351351349</v>
      </c>
      <c r="L296" s="14">
        <v>4216320</v>
      </c>
    </row>
    <row r="297" spans="1:12" s="26" customFormat="1" x14ac:dyDescent="0.25">
      <c r="A297" s="13">
        <v>211</v>
      </c>
      <c r="B297" s="20" t="s">
        <v>880</v>
      </c>
      <c r="C297" s="21" t="s">
        <v>881</v>
      </c>
      <c r="D297" s="30"/>
      <c r="E297" s="31" t="s">
        <v>63</v>
      </c>
      <c r="F297" s="32" t="s">
        <v>30</v>
      </c>
      <c r="G297" s="31"/>
      <c r="I297" s="33">
        <v>44804</v>
      </c>
      <c r="J297" s="18">
        <f t="shared" si="6"/>
        <v>162162.16216216216</v>
      </c>
      <c r="K297" s="18">
        <f t="shared" si="7"/>
        <v>17837.837837837837</v>
      </c>
      <c r="L297" s="14">
        <v>180000</v>
      </c>
    </row>
    <row r="298" spans="1:12" s="26" customFormat="1" x14ac:dyDescent="0.25">
      <c r="A298" s="13">
        <v>212</v>
      </c>
      <c r="B298" s="20" t="s">
        <v>882</v>
      </c>
      <c r="C298" s="21" t="s">
        <v>883</v>
      </c>
      <c r="D298" s="30"/>
      <c r="E298" s="31" t="s">
        <v>145</v>
      </c>
      <c r="F298" s="32" t="s">
        <v>72</v>
      </c>
      <c r="G298" s="31"/>
      <c r="I298" s="33">
        <v>44804</v>
      </c>
      <c r="J298" s="18">
        <f t="shared" si="6"/>
        <v>399999.99999999994</v>
      </c>
      <c r="K298" s="18">
        <f t="shared" si="7"/>
        <v>43999.999999999993</v>
      </c>
      <c r="L298" s="14">
        <v>444000</v>
      </c>
    </row>
    <row r="299" spans="1:12" s="26" customFormat="1" x14ac:dyDescent="0.25">
      <c r="A299" s="13">
        <v>213</v>
      </c>
      <c r="B299" s="20" t="s">
        <v>884</v>
      </c>
      <c r="C299" s="21" t="s">
        <v>885</v>
      </c>
      <c r="D299" s="30"/>
      <c r="E299" s="31" t="s">
        <v>886</v>
      </c>
      <c r="F299" s="32" t="s">
        <v>78</v>
      </c>
      <c r="G299" s="31"/>
      <c r="I299" s="33">
        <v>44804</v>
      </c>
      <c r="J299" s="18">
        <f t="shared" si="6"/>
        <v>710270.27027027018</v>
      </c>
      <c r="K299" s="18">
        <f t="shared" si="7"/>
        <v>78129.729729729719</v>
      </c>
      <c r="L299" s="14">
        <v>788400</v>
      </c>
    </row>
    <row r="300" spans="1:12" s="26" customFormat="1" x14ac:dyDescent="0.25">
      <c r="A300" s="13">
        <v>214</v>
      </c>
      <c r="B300" s="20" t="s">
        <v>887</v>
      </c>
      <c r="C300" s="37" t="s">
        <v>888</v>
      </c>
      <c r="D300" s="13"/>
      <c r="E300" s="38" t="s">
        <v>137</v>
      </c>
      <c r="F300" s="15" t="s">
        <v>78</v>
      </c>
      <c r="G300" s="38"/>
      <c r="I300" s="17">
        <v>44804</v>
      </c>
      <c r="J300" s="18">
        <f t="shared" si="6"/>
        <v>4427027.0270270268</v>
      </c>
      <c r="K300" s="18">
        <f t="shared" si="7"/>
        <v>486972.97297297296</v>
      </c>
      <c r="L300" s="14">
        <v>4914000</v>
      </c>
    </row>
    <row r="301" spans="1:12" s="26" customFormat="1" x14ac:dyDescent="0.25">
      <c r="A301" s="13">
        <v>215</v>
      </c>
      <c r="B301" s="20" t="s">
        <v>889</v>
      </c>
      <c r="C301" s="21" t="s">
        <v>890</v>
      </c>
      <c r="D301" s="30"/>
      <c r="E301" s="31" t="s">
        <v>50</v>
      </c>
      <c r="F301" s="32" t="s">
        <v>51</v>
      </c>
      <c r="G301" s="31"/>
      <c r="I301" s="33">
        <v>44804</v>
      </c>
      <c r="J301" s="18">
        <f t="shared" si="6"/>
        <v>10893405.405405404</v>
      </c>
      <c r="K301" s="18">
        <f t="shared" si="7"/>
        <v>1198274.5945945946</v>
      </c>
      <c r="L301" s="14">
        <f>5054400+7037280</f>
        <v>12091680</v>
      </c>
    </row>
    <row r="302" spans="1:12" s="26" customFormat="1" x14ac:dyDescent="0.25">
      <c r="A302" s="13">
        <v>216</v>
      </c>
      <c r="B302" s="20" t="s">
        <v>891</v>
      </c>
      <c r="C302" s="21" t="s">
        <v>892</v>
      </c>
      <c r="D302" s="30"/>
      <c r="E302" s="31" t="s">
        <v>53</v>
      </c>
      <c r="F302" s="32" t="s">
        <v>98</v>
      </c>
      <c r="G302" s="31"/>
      <c r="I302" s="33">
        <v>44804</v>
      </c>
      <c r="J302" s="18">
        <f t="shared" si="6"/>
        <v>21848648.648648646</v>
      </c>
      <c r="K302" s="18">
        <f t="shared" si="7"/>
        <v>2403351.351351351</v>
      </c>
      <c r="L302" s="14">
        <v>24252000</v>
      </c>
    </row>
    <row r="303" spans="1:12" s="26" customFormat="1" x14ac:dyDescent="0.25">
      <c r="A303" s="13">
        <v>217</v>
      </c>
      <c r="B303" s="20" t="s">
        <v>893</v>
      </c>
      <c r="C303" s="21" t="s">
        <v>894</v>
      </c>
      <c r="D303" s="30"/>
      <c r="E303" s="31" t="s">
        <v>53</v>
      </c>
      <c r="F303" s="32" t="s">
        <v>30</v>
      </c>
      <c r="G303" s="31"/>
      <c r="I303" s="33">
        <v>44804</v>
      </c>
      <c r="J303" s="18">
        <f t="shared" si="6"/>
        <v>31294594.59459459</v>
      </c>
      <c r="K303" s="18">
        <f t="shared" si="7"/>
        <v>3442405.405405405</v>
      </c>
      <c r="L303" s="14">
        <v>34737000</v>
      </c>
    </row>
    <row r="304" spans="1:12" s="26" customFormat="1" x14ac:dyDescent="0.25">
      <c r="A304" s="13">
        <v>218</v>
      </c>
      <c r="B304" s="20" t="s">
        <v>895</v>
      </c>
      <c r="C304" s="21" t="s">
        <v>896</v>
      </c>
      <c r="D304" s="30"/>
      <c r="E304" s="31" t="s">
        <v>86</v>
      </c>
      <c r="F304" s="32" t="s">
        <v>87</v>
      </c>
      <c r="G304" s="31"/>
      <c r="I304" s="33">
        <v>44804</v>
      </c>
      <c r="J304" s="18">
        <f t="shared" si="6"/>
        <v>44017297.297297291</v>
      </c>
      <c r="K304" s="18">
        <f t="shared" si="7"/>
        <v>4841902.702702702</v>
      </c>
      <c r="L304" s="14">
        <f>24429600+24429600</f>
        <v>48859200</v>
      </c>
    </row>
    <row r="305" spans="1:12" s="26" customFormat="1" x14ac:dyDescent="0.25">
      <c r="A305" s="13">
        <v>219</v>
      </c>
      <c r="B305" s="20" t="s">
        <v>897</v>
      </c>
      <c r="C305" s="21" t="s">
        <v>898</v>
      </c>
      <c r="D305" s="30"/>
      <c r="E305" s="31" t="s">
        <v>109</v>
      </c>
      <c r="F305" s="32" t="s">
        <v>21</v>
      </c>
      <c r="G305" s="31"/>
      <c r="I305" s="33">
        <v>44804</v>
      </c>
      <c r="J305" s="18">
        <f t="shared" si="6"/>
        <v>2943783.7837837837</v>
      </c>
      <c r="K305" s="18">
        <f t="shared" si="7"/>
        <v>323816.21621621621</v>
      </c>
      <c r="L305" s="14">
        <v>3267600</v>
      </c>
    </row>
    <row r="306" spans="1:12" s="26" customFormat="1" x14ac:dyDescent="0.25">
      <c r="A306" s="13">
        <v>220</v>
      </c>
      <c r="B306" s="20" t="s">
        <v>899</v>
      </c>
      <c r="C306" s="21" t="s">
        <v>900</v>
      </c>
      <c r="D306" s="30"/>
      <c r="E306" s="31" t="s">
        <v>107</v>
      </c>
      <c r="F306" s="32" t="s">
        <v>21</v>
      </c>
      <c r="G306" s="31"/>
      <c r="I306" s="33">
        <v>44804</v>
      </c>
      <c r="J306" s="18">
        <f t="shared" si="6"/>
        <v>17708108.108108107</v>
      </c>
      <c r="K306" s="18">
        <f t="shared" si="7"/>
        <v>1947891.8918918918</v>
      </c>
      <c r="L306" s="14">
        <v>19656000</v>
      </c>
    </row>
    <row r="307" spans="1:12" s="26" customFormat="1" x14ac:dyDescent="0.25">
      <c r="A307" s="13">
        <v>221</v>
      </c>
      <c r="B307" s="20" t="s">
        <v>901</v>
      </c>
      <c r="C307" s="21" t="s">
        <v>902</v>
      </c>
      <c r="D307" s="30"/>
      <c r="E307" s="31" t="s">
        <v>146</v>
      </c>
      <c r="F307" s="32" t="s">
        <v>95</v>
      </c>
      <c r="G307" s="31"/>
      <c r="I307" s="33">
        <v>44804</v>
      </c>
      <c r="J307" s="18">
        <f t="shared" si="6"/>
        <v>4427027.0270270268</v>
      </c>
      <c r="K307" s="18">
        <f t="shared" si="7"/>
        <v>486972.97297297296</v>
      </c>
      <c r="L307" s="14">
        <v>4914000</v>
      </c>
    </row>
    <row r="308" spans="1:12" s="26" customFormat="1" x14ac:dyDescent="0.25">
      <c r="A308" s="13">
        <v>222</v>
      </c>
      <c r="B308" s="20" t="s">
        <v>903</v>
      </c>
      <c r="C308" s="21" t="s">
        <v>904</v>
      </c>
      <c r="D308" s="30"/>
      <c r="E308" s="31" t="s">
        <v>119</v>
      </c>
      <c r="F308" s="32" t="s">
        <v>120</v>
      </c>
      <c r="G308" s="31"/>
      <c r="I308" s="33">
        <v>44804</v>
      </c>
      <c r="J308" s="18">
        <f t="shared" si="6"/>
        <v>2582432.4324324322</v>
      </c>
      <c r="K308" s="18">
        <f t="shared" si="7"/>
        <v>284067.56756756752</v>
      </c>
      <c r="L308" s="14">
        <v>2866500</v>
      </c>
    </row>
    <row r="309" spans="1:12" s="26" customFormat="1" x14ac:dyDescent="0.25">
      <c r="A309" s="13">
        <v>223</v>
      </c>
      <c r="B309" s="20" t="s">
        <v>905</v>
      </c>
      <c r="C309" s="21" t="s">
        <v>906</v>
      </c>
      <c r="D309" s="30"/>
      <c r="E309" s="31" t="s">
        <v>53</v>
      </c>
      <c r="F309" s="32" t="s">
        <v>43</v>
      </c>
      <c r="G309" s="31"/>
      <c r="I309" s="33">
        <v>44804</v>
      </c>
      <c r="J309" s="18">
        <f t="shared" si="6"/>
        <v>3131999.9999999995</v>
      </c>
      <c r="K309" s="18">
        <f t="shared" si="7"/>
        <v>344519.99999999994</v>
      </c>
      <c r="L309" s="14">
        <f>1344600+2131920</f>
        <v>3476520</v>
      </c>
    </row>
    <row r="310" spans="1:12" s="26" customFormat="1" x14ac:dyDescent="0.25">
      <c r="A310" s="13">
        <v>224</v>
      </c>
      <c r="B310" s="20" t="s">
        <v>907</v>
      </c>
      <c r="C310" s="37" t="s">
        <v>908</v>
      </c>
      <c r="D310" s="13"/>
      <c r="E310" s="38" t="s">
        <v>909</v>
      </c>
      <c r="F310" s="15" t="s">
        <v>62</v>
      </c>
      <c r="G310" s="38"/>
      <c r="I310" s="17">
        <v>44804</v>
      </c>
      <c r="J310" s="18">
        <f t="shared" si="6"/>
        <v>5526810.81081081</v>
      </c>
      <c r="K310" s="18">
        <f t="shared" si="7"/>
        <v>607949.18918918911</v>
      </c>
      <c r="L310" s="14">
        <v>6134760</v>
      </c>
    </row>
    <row r="311" spans="1:12" s="26" customFormat="1" x14ac:dyDescent="0.25">
      <c r="A311" s="13">
        <v>225</v>
      </c>
      <c r="B311" s="20" t="s">
        <v>910</v>
      </c>
      <c r="C311" s="21" t="s">
        <v>911</v>
      </c>
      <c r="D311" s="30"/>
      <c r="E311" s="31" t="s">
        <v>912</v>
      </c>
      <c r="F311" s="32" t="s">
        <v>672</v>
      </c>
      <c r="G311" s="31"/>
      <c r="I311" s="33">
        <v>44792</v>
      </c>
      <c r="J311" s="18">
        <f t="shared" si="6"/>
        <v>111711.7117117117</v>
      </c>
      <c r="K311" s="18">
        <f t="shared" si="7"/>
        <v>12288.288288288288</v>
      </c>
      <c r="L311" s="14">
        <v>124000</v>
      </c>
    </row>
    <row r="312" spans="1:12" s="26" customFormat="1" x14ac:dyDescent="0.25">
      <c r="A312" s="13">
        <v>226</v>
      </c>
      <c r="B312" s="20" t="s">
        <v>913</v>
      </c>
      <c r="C312" s="21" t="s">
        <v>914</v>
      </c>
      <c r="D312" s="30"/>
      <c r="E312" s="31" t="s">
        <v>159</v>
      </c>
      <c r="F312" s="32" t="s">
        <v>915</v>
      </c>
      <c r="G312" s="31"/>
      <c r="I312" s="33">
        <v>44776</v>
      </c>
      <c r="J312" s="18">
        <f t="shared" si="6"/>
        <v>909909.90990990982</v>
      </c>
      <c r="K312" s="18">
        <f t="shared" si="7"/>
        <v>100090.09009009007</v>
      </c>
      <c r="L312" s="14">
        <v>1010000</v>
      </c>
    </row>
    <row r="313" spans="1:12" s="26" customFormat="1" x14ac:dyDescent="0.25">
      <c r="A313" s="13">
        <v>227</v>
      </c>
      <c r="B313" s="20" t="s">
        <v>916</v>
      </c>
      <c r="C313" s="21" t="s">
        <v>505</v>
      </c>
      <c r="D313" s="30"/>
      <c r="E313" s="31" t="s">
        <v>158</v>
      </c>
      <c r="F313" s="32" t="s">
        <v>70</v>
      </c>
      <c r="G313" s="31"/>
      <c r="I313" s="33">
        <v>44781</v>
      </c>
      <c r="J313" s="18">
        <f t="shared" si="6"/>
        <v>28541554.054054052</v>
      </c>
      <c r="K313" s="18">
        <f t="shared" si="7"/>
        <v>3139570.9459459456</v>
      </c>
      <c r="L313" s="14">
        <v>31681125</v>
      </c>
    </row>
    <row r="314" spans="1:12" s="26" customFormat="1" x14ac:dyDescent="0.25">
      <c r="A314" s="13">
        <v>228</v>
      </c>
      <c r="B314" s="20" t="s">
        <v>917</v>
      </c>
      <c r="C314" s="21" t="s">
        <v>918</v>
      </c>
      <c r="D314" s="30"/>
      <c r="E314" s="31" t="s">
        <v>158</v>
      </c>
      <c r="F314" s="32" t="s">
        <v>70</v>
      </c>
      <c r="G314" s="31"/>
      <c r="I314" s="33">
        <v>44784</v>
      </c>
      <c r="J314" s="18">
        <f t="shared" si="6"/>
        <v>20792346.846846845</v>
      </c>
      <c r="K314" s="18">
        <f t="shared" si="7"/>
        <v>2287158.1531531531</v>
      </c>
      <c r="L314" s="14">
        <v>23079505</v>
      </c>
    </row>
    <row r="315" spans="1:12" s="26" customFormat="1" x14ac:dyDescent="0.25">
      <c r="A315" s="13">
        <v>229</v>
      </c>
      <c r="B315" s="20" t="s">
        <v>919</v>
      </c>
      <c r="C315" s="21" t="s">
        <v>920</v>
      </c>
      <c r="D315" s="30"/>
      <c r="E315" s="31" t="s">
        <v>158</v>
      </c>
      <c r="F315" s="32" t="s">
        <v>70</v>
      </c>
      <c r="G315" s="31"/>
      <c r="I315" s="33">
        <v>44788</v>
      </c>
      <c r="J315" s="18">
        <f t="shared" si="6"/>
        <v>32594843.24324324</v>
      </c>
      <c r="K315" s="18">
        <f t="shared" si="7"/>
        <v>3585432.7567567565</v>
      </c>
      <c r="L315" s="14">
        <f>33375300+2804976</f>
        <v>36180276</v>
      </c>
    </row>
    <row r="316" spans="1:12" s="26" customFormat="1" x14ac:dyDescent="0.25">
      <c r="A316" s="13">
        <v>230</v>
      </c>
      <c r="B316" s="20" t="s">
        <v>921</v>
      </c>
      <c r="C316" s="21" t="s">
        <v>922</v>
      </c>
      <c r="D316" s="30"/>
      <c r="E316" s="31" t="s">
        <v>158</v>
      </c>
      <c r="F316" s="32" t="s">
        <v>70</v>
      </c>
      <c r="G316" s="31"/>
      <c r="I316" s="33">
        <v>44791</v>
      </c>
      <c r="J316" s="18">
        <f t="shared" si="6"/>
        <v>19544662.162162159</v>
      </c>
      <c r="K316" s="18">
        <f t="shared" si="7"/>
        <v>2149912.8378378376</v>
      </c>
      <c r="L316" s="14">
        <v>21694575</v>
      </c>
    </row>
    <row r="317" spans="1:12" s="26" customFormat="1" x14ac:dyDescent="0.25">
      <c r="A317" s="13">
        <v>231</v>
      </c>
      <c r="B317" s="20" t="s">
        <v>923</v>
      </c>
      <c r="C317" s="21" t="s">
        <v>924</v>
      </c>
      <c r="D317" s="30"/>
      <c r="E317" s="31" t="s">
        <v>158</v>
      </c>
      <c r="F317" s="32" t="s">
        <v>70</v>
      </c>
      <c r="G317" s="31"/>
      <c r="I317" s="33">
        <v>44796</v>
      </c>
      <c r="J317" s="18">
        <f t="shared" si="6"/>
        <v>32911824.324324321</v>
      </c>
      <c r="K317" s="18">
        <f t="shared" si="7"/>
        <v>3620300.6756756753</v>
      </c>
      <c r="L317" s="14">
        <v>36532125</v>
      </c>
    </row>
    <row r="318" spans="1:12" s="26" customFormat="1" x14ac:dyDescent="0.25">
      <c r="A318" s="13">
        <v>232</v>
      </c>
      <c r="B318" s="20" t="s">
        <v>925</v>
      </c>
      <c r="C318" s="21" t="s">
        <v>926</v>
      </c>
      <c r="D318" s="30"/>
      <c r="E318" s="31" t="s">
        <v>104</v>
      </c>
      <c r="F318" s="32" t="s">
        <v>47</v>
      </c>
      <c r="G318" s="31"/>
      <c r="I318" s="33">
        <v>44800</v>
      </c>
      <c r="J318" s="18">
        <f t="shared" si="6"/>
        <v>50548513.513513505</v>
      </c>
      <c r="K318" s="18">
        <f t="shared" si="7"/>
        <v>5560336.4864864852</v>
      </c>
      <c r="L318" s="14">
        <f>18906300+37202550</f>
        <v>56108850</v>
      </c>
    </row>
    <row r="319" spans="1:12" s="26" customFormat="1" x14ac:dyDescent="0.25">
      <c r="A319" s="13">
        <v>233</v>
      </c>
      <c r="B319" s="20" t="s">
        <v>927</v>
      </c>
      <c r="C319" s="21" t="s">
        <v>928</v>
      </c>
      <c r="D319" s="30"/>
      <c r="E319" s="31" t="s">
        <v>90</v>
      </c>
      <c r="F319" s="32" t="s">
        <v>47</v>
      </c>
      <c r="G319" s="31"/>
      <c r="I319" s="33">
        <v>44800</v>
      </c>
      <c r="J319" s="18">
        <f t="shared" si="6"/>
        <v>5600788.2882882878</v>
      </c>
      <c r="K319" s="18">
        <f t="shared" si="7"/>
        <v>616086.71171171172</v>
      </c>
      <c r="L319" s="14">
        <v>6216875</v>
      </c>
    </row>
    <row r="320" spans="1:12" s="26" customFormat="1" x14ac:dyDescent="0.25">
      <c r="A320" s="13">
        <v>234</v>
      </c>
      <c r="B320" s="20" t="s">
        <v>929</v>
      </c>
      <c r="C320" s="37" t="s">
        <v>930</v>
      </c>
      <c r="D320" s="13"/>
      <c r="E320" s="38" t="s">
        <v>46</v>
      </c>
      <c r="F320" s="15" t="s">
        <v>47</v>
      </c>
      <c r="G320" s="38"/>
      <c r="I320" s="17">
        <v>44802</v>
      </c>
      <c r="J320" s="18">
        <f t="shared" si="6"/>
        <v>12640135.135135135</v>
      </c>
      <c r="K320" s="18">
        <f t="shared" si="7"/>
        <v>1390414.8648648649</v>
      </c>
      <c r="L320" s="14">
        <f>3921750+10108800</f>
        <v>14030550</v>
      </c>
    </row>
    <row r="321" spans="1:12" s="26" customFormat="1" x14ac:dyDescent="0.25">
      <c r="A321" s="13">
        <v>235</v>
      </c>
      <c r="B321" s="20" t="s">
        <v>931</v>
      </c>
      <c r="C321" s="21" t="s">
        <v>932</v>
      </c>
      <c r="D321" s="30"/>
      <c r="E321" s="31" t="s">
        <v>158</v>
      </c>
      <c r="F321" s="32" t="s">
        <v>47</v>
      </c>
      <c r="G321" s="31"/>
      <c r="I321" s="33">
        <v>44803</v>
      </c>
      <c r="J321" s="18">
        <f t="shared" si="6"/>
        <v>13025675.675675675</v>
      </c>
      <c r="K321" s="18">
        <f t="shared" si="7"/>
        <v>1432824.3243243243</v>
      </c>
      <c r="L321" s="14">
        <f>14458500</f>
        <v>14458500</v>
      </c>
    </row>
    <row r="322" spans="1:12" x14ac:dyDescent="0.25">
      <c r="J322" s="12">
        <f>SUM(J87:J321)</f>
        <v>2258320715.3153162</v>
      </c>
      <c r="K322" s="12">
        <f>SUM(K87:K321)</f>
        <v>248415278.68468466</v>
      </c>
      <c r="L322" s="19">
        <f>SUM(L87:L321)</f>
        <v>2506735994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2022-08-19T03:49:34Z</dcterms:created>
  <dcterms:modified xsi:type="dcterms:W3CDTF">2022-09-23T07:45:09Z</dcterms:modified>
</cp:coreProperties>
</file>